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C04E7942-0602-40E8-A9D5-C1C760D5CEAD}" xr6:coauthVersionLast="45" xr6:coauthVersionMax="45" xr10:uidLastSave="{00000000-0000-0000-0000-000000000000}"/>
  <workbookProtection workbookAlgorithmName="SHA-512" workbookHashValue="ATBSZZsOB2K44MRrpI/JUfR4VszUcT+MboKQ3oJqTV3wSDtASJA24t6ABlbTCwWmMj9ZF6m47Np6XwSNkRwmWg==" workbookSaltValue="qX+q8+g1Ftat2MHA90LhGg==" workbookSpinCount="100000" lockStructure="1"/>
  <bookViews>
    <workbookView xWindow="-120" yWindow="-120" windowWidth="20730" windowHeight="11160" xr2:uid="{58082822-7E55-42F5-A2E0-1AC0CF6C8A8F}"/>
  </bookViews>
  <sheets>
    <sheet name="Simulador" sheetId="4" r:id="rId1"/>
    <sheet name="Param" sheetId="3" state="hidden" r:id="rId2"/>
    <sheet name="VTU_Ah_Cte" sheetId="6" state="hidden" r:id="rId3"/>
  </sheets>
  <externalReferences>
    <externalReference r:id="rId4"/>
    <externalReference r:id="rId5"/>
  </externalReferences>
  <definedNames>
    <definedName name="_AMO_UniqueIdentifier" hidden="1">"'5e236c76-b2eb-4d35-b0fa-e42cf10dae5a'"</definedName>
    <definedName name="Bancaseg_gracia" localSheetId="2">[1]Calculo_Cuota!$E$22</definedName>
    <definedName name="Bancaseg_gracia">[2]Calculo_Cuota!$E$22</definedName>
    <definedName name="Bancaseguro" localSheetId="2">[1]Calculo_Cuota!$C$20</definedName>
    <definedName name="Bancaseguro">[2]Calculo_Cuota!$C$20</definedName>
    <definedName name="CDT">#REF!</definedName>
    <definedName name="Convenio" localSheetId="2">[1]Convenios!$A:$F</definedName>
    <definedName name="Convenio">[2]Convenios!$A:$F</definedName>
    <definedName name="Credifijo">#REF!</definedName>
    <definedName name="Crediflash">#REF!</definedName>
    <definedName name="Credioficial">#REF!</definedName>
    <definedName name="Cuenta_Ahorro">Param!$B$2:$B$5</definedName>
    <definedName name="Cuenta_Corriente">Param!$B$6</definedName>
    <definedName name="Cuota" localSheetId="2">[1]Calculo_Cuota!$C$22</definedName>
    <definedName name="cuota">Simulador!#REF!</definedName>
    <definedName name="Educativo">#REF!</definedName>
    <definedName name="Est_CR_Libranza" localSheetId="2">[1]Calculo_Cuota!$C$19</definedName>
    <definedName name="Est_CR_Libranza">[2]Calculo_Cuota!$C$19</definedName>
    <definedName name="Int_Gracia" localSheetId="2">[1]Calculo_Cuota!$E$20</definedName>
    <definedName name="Int_Gracia">[2]Calculo_Cuota!$E$20</definedName>
    <definedName name="Inverprimas">#REF!</definedName>
    <definedName name="Parametro" localSheetId="1">[2]Param!$E$1:$L$11</definedName>
    <definedName name="Parametro" localSheetId="2">[1]Param!$E$1:$L$11</definedName>
    <definedName name="Parametro">#REF!</definedName>
    <definedName name="Prestaexpress">#REF!</definedName>
    <definedName name="Producto" localSheetId="1">[2]Param!$A$2:$A$6</definedName>
    <definedName name="Producto" localSheetId="2">[1]Param!$A$2:$A$6</definedName>
    <definedName name="Producto">#REF!</definedName>
    <definedName name="seguro_gracia" localSheetId="2">[1]Calculo_Cuota!$E$21</definedName>
    <definedName name="seguro_gracia">[2]Calculo_Cuota!$E$21</definedName>
    <definedName name="SMMLV" localSheetId="1">Param!$E$2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6" l="1"/>
  <c r="C9" i="6"/>
  <c r="C7" i="6"/>
  <c r="E7" i="6" s="1"/>
  <c r="C5" i="6"/>
  <c r="C6" i="6" s="1"/>
  <c r="C8" i="6" s="1"/>
  <c r="C10" i="6" l="1"/>
  <c r="E10" i="6" s="1"/>
  <c r="F25" i="6"/>
  <c r="E8" i="6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C16" i="6"/>
  <c r="D16" i="6"/>
  <c r="K16" i="6" s="1"/>
  <c r="E17" i="6" l="1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G17" i="6"/>
  <c r="G8" i="4" s="1"/>
  <c r="F20" i="6"/>
  <c r="F27" i="6"/>
  <c r="F17" i="6"/>
  <c r="F22" i="6"/>
  <c r="F19" i="6"/>
  <c r="F26" i="6"/>
  <c r="F24" i="6"/>
  <c r="F21" i="6"/>
  <c r="F28" i="6"/>
  <c r="F23" i="6"/>
  <c r="F18" i="6"/>
  <c r="G7" i="4" l="1"/>
  <c r="H17" i="6"/>
  <c r="D17" i="6" l="1"/>
  <c r="E18" i="6" s="1"/>
  <c r="H18" i="6" s="1"/>
  <c r="J18" i="6" s="1"/>
  <c r="J17" i="6"/>
  <c r="K17" i="6" l="1"/>
  <c r="K18" i="6"/>
  <c r="D18" i="6"/>
  <c r="E19" i="6" s="1"/>
  <c r="H19" i="6" l="1"/>
  <c r="J19" i="6" s="1"/>
  <c r="K19" i="6" l="1"/>
  <c r="D19" i="6"/>
  <c r="E20" i="6" s="1"/>
  <c r="H20" i="6" l="1"/>
  <c r="J20" i="6" s="1"/>
  <c r="K20" i="6" l="1"/>
  <c r="D20" i="6"/>
  <c r="E21" i="6" s="1"/>
  <c r="H21" i="6" l="1"/>
  <c r="J21" i="6" s="1"/>
  <c r="K21" i="6" l="1"/>
  <c r="D21" i="6"/>
  <c r="E22" i="6" s="1"/>
  <c r="H22" i="6" l="1"/>
  <c r="J22" i="6" s="1"/>
  <c r="F7" i="4"/>
  <c r="G5" i="4"/>
  <c r="K22" i="6" l="1"/>
  <c r="D22" i="6"/>
  <c r="E23" i="6" s="1"/>
  <c r="H23" i="6" l="1"/>
  <c r="J23" i="6" s="1"/>
  <c r="K23" i="6" s="1"/>
  <c r="D23" i="6" l="1"/>
  <c r="E24" i="6" s="1"/>
  <c r="H24" i="6" l="1"/>
  <c r="J24" i="6" s="1"/>
  <c r="K24" i="6" s="1"/>
  <c r="D24" i="6" l="1"/>
  <c r="E25" i="6" s="1"/>
  <c r="H25" i="6" l="1"/>
  <c r="J25" i="6" s="1"/>
  <c r="K25" i="6" s="1"/>
  <c r="D25" i="6" l="1"/>
  <c r="E26" i="6" s="1"/>
  <c r="H26" i="6" l="1"/>
  <c r="J26" i="6" s="1"/>
  <c r="K26" i="6" s="1"/>
  <c r="D26" i="6" l="1"/>
  <c r="E27" i="6" s="1"/>
  <c r="H27" i="6" l="1"/>
  <c r="J27" i="6" s="1"/>
  <c r="K27" i="6" s="1"/>
  <c r="D27" i="6" l="1"/>
  <c r="E28" i="6" l="1"/>
  <c r="I28" i="6" l="1"/>
  <c r="H28" i="6"/>
  <c r="G6" i="4"/>
  <c r="D28" i="6" l="1"/>
  <c r="J28" i="6"/>
  <c r="K28" i="6" l="1"/>
  <c r="K15" i="6" s="1"/>
  <c r="K13" i="6" s="1"/>
  <c r="G9" i="4"/>
  <c r="G10" i="4" s="1"/>
  <c r="G5" i="6" l="1"/>
  <c r="G1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Fredy Alexander Tarazona Manrique</author>
  </authors>
  <commentList>
    <comment ref="D6" authorId="0" shapeId="0" xr:uid="{0C47853A-4960-423A-8A5E-DBABBA06F4D0}">
      <text>
        <r>
          <rPr>
            <b/>
            <sz val="9"/>
            <color indexed="81"/>
            <rFont val="Tahoma"/>
            <family val="2"/>
          </rPr>
          <t>Fredy Alexander Tarazona Manrique:</t>
        </r>
        <r>
          <rPr>
            <sz val="9"/>
            <color indexed="81"/>
            <rFont val="Tahoma"/>
            <family val="2"/>
          </rPr>
          <t xml:space="preserve">
Se toma el valor de la chequera de 30 Cheques</t>
        </r>
      </text>
    </comment>
  </commentList>
</comments>
</file>

<file path=xl/sharedStrings.xml><?xml version="1.0" encoding="utf-8"?>
<sst xmlns="http://schemas.openxmlformats.org/spreadsheetml/2006/main" count="66" uniqueCount="55">
  <si>
    <t>Producto</t>
  </si>
  <si>
    <t>Observación</t>
  </si>
  <si>
    <t>Plazo Meses</t>
  </si>
  <si>
    <t>Valor Tasa EA</t>
  </si>
  <si>
    <t>Tasa NMV</t>
  </si>
  <si>
    <t>VTU</t>
  </si>
  <si>
    <t xml:space="preserve">Datos  Simulación </t>
  </si>
  <si>
    <t>VTU % E.A.</t>
  </si>
  <si>
    <t>* Campos a Diligenciar</t>
  </si>
  <si>
    <t>Total VTU en Pesos ($)</t>
  </si>
  <si>
    <t>VTU*</t>
  </si>
  <si>
    <t>Cuota Manejo</t>
  </si>
  <si>
    <t>Interes</t>
  </si>
  <si>
    <t>Fecha</t>
  </si>
  <si>
    <t>VTU* E.A.</t>
  </si>
  <si>
    <t>SMMLV</t>
  </si>
  <si>
    <t>Plazo en Meses</t>
  </si>
  <si>
    <t>Producto*</t>
  </si>
  <si>
    <t>Simulador VTU  - Cuenta Ahorro y Corriente</t>
  </si>
  <si>
    <t>VTUP</t>
  </si>
  <si>
    <t>Cuenta_Ahorro</t>
  </si>
  <si>
    <t>Línea</t>
  </si>
  <si>
    <t>Brindamas</t>
  </si>
  <si>
    <t>Saldo Mensual PromedioSMMLV</t>
  </si>
  <si>
    <t>1 SMMLV</t>
  </si>
  <si>
    <t>Monto Depositado</t>
  </si>
  <si>
    <t>Cuota de manejo</t>
  </si>
  <si>
    <t>Chequera</t>
  </si>
  <si>
    <t>Fecha Apertura</t>
  </si>
  <si>
    <t>Periodo</t>
  </si>
  <si>
    <t>Saldo</t>
  </si>
  <si>
    <t>Chequera**</t>
  </si>
  <si>
    <t>Abono</t>
  </si>
  <si>
    <t>Retiro</t>
  </si>
  <si>
    <t>Cuenta Corriente</t>
  </si>
  <si>
    <t>Tradicional</t>
  </si>
  <si>
    <t>Rendimetas</t>
  </si>
  <si>
    <t>Rendipropósito</t>
  </si>
  <si>
    <t>No Dispone</t>
  </si>
  <si>
    <t>Tipo cuenta*</t>
  </si>
  <si>
    <t>Cuenta_Corriente</t>
  </si>
  <si>
    <t>Saldo Mensual Promedio (SMMLV)*</t>
  </si>
  <si>
    <t>Saldo Promedio Cuenta</t>
  </si>
  <si>
    <t>El VTU no corresponde a una tasa de interés. Es la suma de ingresos y cobros asociados a la prestación del producto, se expresará en terminos porcentuales y su resultante en pesos.</t>
  </si>
  <si>
    <t>(%) Tasa E.A.*</t>
  </si>
  <si>
    <t>Rendimiento</t>
  </si>
  <si>
    <t>Al momento de diligenciar el campo Tasa E.A. tenga en cuenta las tasas vigentes en la página web del Banco www.bancopichincha.com.co</t>
  </si>
  <si>
    <t>Retención en la fuente</t>
  </si>
  <si>
    <t>Retefuente</t>
  </si>
  <si>
    <t>El resultado de esta simulación corresponde a una proyección y los valores resultantes podrán variar al momento de contratar los productos de acuerdo con las condiciones, tasas y tarifas vigentes.</t>
  </si>
  <si>
    <t>En el cálculo del VTU no se incluyen costos de servicios transaccionales.</t>
  </si>
  <si>
    <t>El cálculo para las cuentas corrientes y de ahorros se realiza asumiendo un monto fijo promedio en cuenta de un SMMLV durante un año.</t>
  </si>
  <si>
    <t>El cobro de cuota de manejo corresponde a Tarjeta débito.</t>
  </si>
  <si>
    <t>Tasa E.A: Corresponde a la tasa efectiva anual.</t>
  </si>
  <si>
    <t>Esta simulación es de carácter informativo y no constituye en ningún evento una oferta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</si>
</sst>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rgb="FF000000"/>
      <name val="Calisto MT"/>
      <family val="1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3" fillId="0" borderId="0" xfId="0" applyFont="1" applyAlignment="1">
      <alignment vertical="center"/>
    </xf>
    <xf numFmtId="6" fontId="10" fillId="4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0" fillId="4" borderId="3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2" borderId="3" xfId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6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vertical="center"/>
    </xf>
    <xf numFmtId="10" fontId="3" fillId="3" borderId="0" xfId="5" applyNumberFormat="1" applyFont="1" applyFill="1" applyBorder="1" applyAlignment="1" applyProtection="1">
      <alignment horizontal="center" vertical="center" wrapText="1"/>
      <protection hidden="1"/>
    </xf>
    <xf numFmtId="6" fontId="10" fillId="4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6" fillId="7" borderId="0" xfId="7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0" fontId="17" fillId="8" borderId="1" xfId="0" applyNumberFormat="1" applyFont="1" applyFill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vertical="center"/>
      <protection hidden="1"/>
    </xf>
    <xf numFmtId="164" fontId="14" fillId="0" borderId="1" xfId="6" applyFont="1" applyBorder="1" applyAlignment="1" applyProtection="1">
      <alignment horizontal="center" vertical="center"/>
      <protection hidden="1"/>
    </xf>
    <xf numFmtId="4" fontId="0" fillId="0" borderId="0" xfId="0" applyNumberFormat="1" applyProtection="1">
      <protection hidden="1"/>
    </xf>
    <xf numFmtId="6" fontId="0" fillId="0" borderId="1" xfId="0" applyNumberForma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wrapTex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Protection="1">
      <protection hidden="1"/>
    </xf>
    <xf numFmtId="15" fontId="14" fillId="9" borderId="1" xfId="0" applyNumberFormat="1" applyFont="1" applyFill="1" applyBorder="1" applyAlignment="1" applyProtection="1">
      <alignment horizontal="center"/>
      <protection hidden="1"/>
    </xf>
    <xf numFmtId="10" fontId="14" fillId="0" borderId="1" xfId="0" applyNumberFormat="1" applyFont="1" applyFill="1" applyBorder="1" applyAlignment="1" applyProtection="1">
      <alignment horizontal="center"/>
      <protection hidden="1"/>
    </xf>
    <xf numFmtId="10" fontId="14" fillId="1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167" fontId="0" fillId="0" borderId="0" xfId="5" applyNumberFormat="1" applyFont="1" applyProtection="1">
      <protection hidden="1"/>
    </xf>
    <xf numFmtId="1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6" fontId="0" fillId="0" borderId="0" xfId="0" applyNumberFormat="1" applyProtection="1"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4" fillId="0" borderId="0" xfId="1" applyProtection="1"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8" fillId="0" borderId="0" xfId="1" applyFont="1" applyBorder="1" applyAlignment="1" applyProtection="1">
      <alignment horizontal="left" vertical="center"/>
      <protection hidden="1"/>
    </xf>
    <xf numFmtId="6" fontId="8" fillId="0" borderId="0" xfId="1" applyNumberFormat="1" applyFont="1" applyBorder="1" applyAlignment="1" applyProtection="1">
      <alignment horizontal="right" vertical="center"/>
      <protection hidden="1"/>
    </xf>
    <xf numFmtId="6" fontId="8" fillId="0" borderId="0" xfId="1" applyNumberFormat="1" applyFont="1" applyBorder="1" applyProtection="1">
      <protection hidden="1"/>
    </xf>
    <xf numFmtId="165" fontId="8" fillId="0" borderId="0" xfId="2" applyNumberFormat="1" applyFont="1" applyBorder="1" applyAlignment="1" applyProtection="1">
      <alignment horizontal="left" vertical="center" wrapText="1"/>
      <protection hidden="1"/>
    </xf>
    <xf numFmtId="0" fontId="8" fillId="0" borderId="0" xfId="1" applyFont="1" applyBorder="1" applyAlignment="1" applyProtection="1">
      <alignment vertical="center"/>
      <protection hidden="1"/>
    </xf>
    <xf numFmtId="0" fontId="8" fillId="0" borderId="6" xfId="1" applyFont="1" applyBorder="1" applyAlignment="1" applyProtection="1">
      <alignment vertical="center"/>
      <protection hidden="1"/>
    </xf>
    <xf numFmtId="0" fontId="8" fillId="0" borderId="6" xfId="1" applyFont="1" applyBorder="1" applyAlignment="1" applyProtection="1">
      <alignment horizontal="left" vertical="center"/>
      <protection hidden="1"/>
    </xf>
    <xf numFmtId="6" fontId="8" fillId="0" borderId="6" xfId="1" applyNumberFormat="1" applyFont="1" applyBorder="1" applyAlignment="1" applyProtection="1">
      <alignment horizontal="right" vertical="center"/>
      <protection hidden="1"/>
    </xf>
    <xf numFmtId="6" fontId="8" fillId="0" borderId="6" xfId="1" applyNumberFormat="1" applyFont="1" applyBorder="1" applyProtection="1">
      <protection hidden="1"/>
    </xf>
    <xf numFmtId="165" fontId="8" fillId="0" borderId="6" xfId="2" applyNumberFormat="1" applyFont="1" applyBorder="1" applyAlignment="1" applyProtection="1">
      <alignment horizontal="left" vertical="center" wrapText="1"/>
      <protection hidden="1"/>
    </xf>
    <xf numFmtId="0" fontId="8" fillId="0" borderId="0" xfId="1" applyFont="1" applyProtection="1">
      <protection hidden="1"/>
    </xf>
    <xf numFmtId="6" fontId="8" fillId="0" borderId="0" xfId="1" applyNumberFormat="1" applyFont="1" applyProtection="1">
      <protection hidden="1"/>
    </xf>
    <xf numFmtId="0" fontId="4" fillId="0" borderId="0" xfId="1" applyFont="1" applyProtection="1">
      <protection hidden="1"/>
    </xf>
    <xf numFmtId="10" fontId="10" fillId="4" borderId="3" xfId="0" applyNumberFormat="1" applyFont="1" applyFill="1" applyBorder="1" applyAlignment="1" applyProtection="1">
      <alignment horizontal="center" vertical="center"/>
      <protection locked="0" hidden="1"/>
    </xf>
    <xf numFmtId="9" fontId="0" fillId="0" borderId="0" xfId="0" applyNumberFormat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left" vertical="center" wrapText="1"/>
    </xf>
    <xf numFmtId="0" fontId="12" fillId="6" borderId="0" xfId="0" applyFont="1" applyFill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6" fontId="3" fillId="8" borderId="1" xfId="0" applyNumberFormat="1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</cellXfs>
  <cellStyles count="8">
    <cellStyle name="Millares 2" xfId="4" xr:uid="{F3DB3678-EAF6-4CE4-A726-D52A42F79AD5}"/>
    <cellStyle name="Moneda 2" xfId="2" xr:uid="{CAB95C77-1C8C-43CD-AE5C-263EBA8ECE09}"/>
    <cellStyle name="Moneda 3" xfId="6" xr:uid="{23EAFF4D-53FD-4552-9DC6-FD5BB13B7972}"/>
    <cellStyle name="Normal" xfId="0" builtinId="0"/>
    <cellStyle name="Normal 2" xfId="7" xr:uid="{9DEFBCFB-57DE-4772-9686-FA24554079BB}"/>
    <cellStyle name="Normal 3" xfId="1" xr:uid="{4AB896EC-FFC4-4F6F-89DA-B9C776118C9E}"/>
    <cellStyle name="Porcentaje" xfId="5" builtinId="5"/>
    <cellStyle name="Porcentaje 2" xfId="3" xr:uid="{4E48E87D-94AC-4DA5-A1BB-BDF4E7E4F04A}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1133475</xdr:colOff>
      <xdr:row>1</xdr:row>
      <xdr:rowOff>147309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152525" cy="3378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7</xdr:row>
          <xdr:rowOff>57150</xdr:rowOff>
        </xdr:from>
        <xdr:to>
          <xdr:col>6</xdr:col>
          <xdr:colOff>962025</xdr:colOff>
          <xdr:row>8</xdr:row>
          <xdr:rowOff>95250</xdr:rowOff>
        </xdr:to>
        <xdr:sp macro="" textlink="">
          <xdr:nvSpPr>
            <xdr:cNvPr id="7169" name="Button 1" descr="Plan de Pagos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200" b="1" i="1" u="none" strike="noStrike" baseline="0">
                  <a:solidFill>
                    <a:srgbClr val="000000"/>
                  </a:solidFill>
                  <a:latin typeface="Calisto MT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dor%20VTU%20Ahorro_Corr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/>
      <sheetData sheetId="9">
        <row r="19">
          <cell r="C19">
            <v>88850</v>
          </cell>
        </row>
        <row r="20">
          <cell r="C20">
            <v>5500</v>
          </cell>
          <cell r="E20">
            <v>224937.9991612921</v>
          </cell>
        </row>
        <row r="21">
          <cell r="E21">
            <v>29076.666666666668</v>
          </cell>
        </row>
        <row r="22">
          <cell r="C22">
            <v>233697</v>
          </cell>
          <cell r="E22">
            <v>16500</v>
          </cell>
        </row>
      </sheetData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Calculo_Cuota"/>
      <sheetName val="Hoja1"/>
      <sheetName val="Normalizacion"/>
      <sheetName val="Param_Libranza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H2">
            <v>8.8999999999999995E-4</v>
          </cell>
          <cell r="J2">
            <v>2800</v>
          </cell>
          <cell r="L2" t="str">
            <v>Si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H3">
            <v>8.8999999999999995E-4</v>
          </cell>
          <cell r="I3">
            <v>15000</v>
          </cell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H4">
            <v>8.8999999999999995E-4</v>
          </cell>
          <cell r="J4">
            <v>11150</v>
          </cell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H5">
            <v>1.4300000000000001E-3</v>
          </cell>
          <cell r="I5">
            <v>85850</v>
          </cell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H6">
            <v>1.4300000000000001E-3</v>
          </cell>
          <cell r="I6">
            <v>32400</v>
          </cell>
          <cell r="L6" t="str">
            <v>No</v>
          </cell>
        </row>
        <row r="7">
          <cell r="E7" t="str">
            <v>Vh. Particular</v>
          </cell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 refreshError="1"/>
      <sheetData sheetId="5" refreshError="1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 refreshError="1"/>
      <sheetData sheetId="8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E22">
            <v>26774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sheetPr codeName="Hoja1"/>
  <dimension ref="A1:J23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5" sqref="C15:G15"/>
    </sheetView>
  </sheetViews>
  <sheetFormatPr baseColWidth="10" defaultColWidth="0" defaultRowHeight="15" zeroHeight="1" x14ac:dyDescent="0.25"/>
  <cols>
    <col min="1" max="2" width="1.5703125" customWidth="1"/>
    <col min="3" max="3" width="21.7109375" style="1" customWidth="1"/>
    <col min="4" max="4" width="23.28515625" style="1" customWidth="1"/>
    <col min="5" max="5" width="14.85546875" customWidth="1"/>
    <col min="6" max="6" width="30.1406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7" ht="7.5" customHeight="1" x14ac:dyDescent="0.25"/>
    <row r="2" spans="3:7" ht="23.25" x14ac:dyDescent="0.25">
      <c r="C2" s="58" t="s">
        <v>18</v>
      </c>
      <c r="D2" s="58"/>
      <c r="E2" s="58"/>
      <c r="F2" s="58"/>
      <c r="G2" s="58"/>
    </row>
    <row r="3" spans="3:7" ht="9.75" customHeight="1" thickBot="1" x14ac:dyDescent="0.3">
      <c r="C3" s="15"/>
      <c r="D3" s="15"/>
      <c r="E3" s="15"/>
      <c r="F3" s="15"/>
      <c r="G3" s="15"/>
    </row>
    <row r="4" spans="3:7" ht="20.25" thickTop="1" thickBot="1" x14ac:dyDescent="0.3">
      <c r="C4" s="59" t="s">
        <v>6</v>
      </c>
      <c r="D4" s="60"/>
      <c r="E4" s="38"/>
      <c r="F4" s="59" t="s">
        <v>5</v>
      </c>
      <c r="G4" s="60"/>
    </row>
    <row r="5" spans="3:7" ht="29.25" customHeight="1" thickTop="1" thickBot="1" x14ac:dyDescent="0.3">
      <c r="C5" s="8" t="s">
        <v>17</v>
      </c>
      <c r="D5" s="10" t="s">
        <v>20</v>
      </c>
      <c r="F5" s="8" t="s">
        <v>42</v>
      </c>
      <c r="G5" s="4">
        <f>MID(D7,1,1)*Param!SMMLV</f>
        <v>1000000</v>
      </c>
    </row>
    <row r="6" spans="3:7" ht="29.25" customHeight="1" thickTop="1" thickBot="1" x14ac:dyDescent="0.3">
      <c r="C6" s="8" t="s">
        <v>39</v>
      </c>
      <c r="D6" s="10" t="s">
        <v>22</v>
      </c>
      <c r="F6" s="8" t="s">
        <v>45</v>
      </c>
      <c r="G6" s="4">
        <f>SUM(VTU_Ah_Cte!$E$17:$E$28)</f>
        <v>1000.000000001149</v>
      </c>
    </row>
    <row r="7" spans="3:7" ht="34.5" customHeight="1" thickTop="1" thickBot="1" x14ac:dyDescent="0.3">
      <c r="C7" s="8" t="s">
        <v>41</v>
      </c>
      <c r="D7" s="14" t="s">
        <v>24</v>
      </c>
      <c r="E7" s="7"/>
      <c r="F7" s="8" t="str">
        <f>IF($D$5="Educativo Rotativo", "Comisión Disponibilidad","Cuota de Manejo")</f>
        <v>Cuota de Manejo</v>
      </c>
      <c r="G7" s="4">
        <f>IF($D$6="","",SUM(VTU_Ah_Cte!$F$17:$F$28))</f>
        <v>256800</v>
      </c>
    </row>
    <row r="8" spans="3:7" ht="26.25" customHeight="1" thickTop="1" thickBot="1" x14ac:dyDescent="0.3">
      <c r="C8" s="8" t="s">
        <v>16</v>
      </c>
      <c r="D8" s="11">
        <v>12</v>
      </c>
      <c r="F8" s="8" t="s">
        <v>27</v>
      </c>
      <c r="G8" s="4">
        <f>IF($D$6="","",SUM(VTU_Ah_Cte!$G$17:$G$28))</f>
        <v>0</v>
      </c>
    </row>
    <row r="9" spans="3:7" ht="26.25" customHeight="1" thickTop="1" thickBot="1" x14ac:dyDescent="0.3">
      <c r="C9" s="8" t="s">
        <v>44</v>
      </c>
      <c r="D9" s="55">
        <v>1E-3</v>
      </c>
      <c r="F9" s="8" t="s">
        <v>47</v>
      </c>
      <c r="G9" s="4">
        <f>IF($D$6="","",SUM(VTU_Ah_Cte!$J$17:$J$28))</f>
        <v>70.000000000080433</v>
      </c>
    </row>
    <row r="10" spans="3:7" ht="26.25" customHeight="1" thickTop="1" thickBot="1" x14ac:dyDescent="0.3">
      <c r="C10" s="3" t="s">
        <v>8</v>
      </c>
      <c r="F10" s="8" t="s">
        <v>9</v>
      </c>
      <c r="G10" s="4">
        <f>ABS(IF($D$6="","",SUM(G7:G9)-G6))</f>
        <v>255869.99999999895</v>
      </c>
    </row>
    <row r="11" spans="3:7" ht="26.25" customHeight="1" thickTop="1" thickBot="1" x14ac:dyDescent="0.3">
      <c r="C11" s="3"/>
      <c r="F11" s="8" t="s">
        <v>7</v>
      </c>
      <c r="G11" s="6">
        <f>IF($D$6="","",VTU_Ah_Cte!$G$5)</f>
        <v>0.2414342468917321</v>
      </c>
    </row>
    <row r="12" spans="3:7" ht="15.75" thickTop="1" x14ac:dyDescent="0.25">
      <c r="C12" s="12" t="s">
        <v>54</v>
      </c>
      <c r="D12" s="2"/>
    </row>
    <row r="13" spans="3:7" ht="24" customHeight="1" x14ac:dyDescent="0.25">
      <c r="C13" s="57" t="s">
        <v>49</v>
      </c>
      <c r="D13" s="57"/>
      <c r="E13" s="57"/>
      <c r="F13" s="57"/>
      <c r="G13" s="57"/>
    </row>
    <row r="14" spans="3:7" ht="23.25" customHeight="1" x14ac:dyDescent="0.25">
      <c r="C14" s="57" t="s">
        <v>43</v>
      </c>
      <c r="D14" s="57"/>
      <c r="E14" s="57"/>
      <c r="F14" s="57"/>
      <c r="G14" s="57"/>
    </row>
    <row r="15" spans="3:7" x14ac:dyDescent="0.25">
      <c r="C15" s="57" t="s">
        <v>50</v>
      </c>
      <c r="D15" s="57"/>
      <c r="E15" s="57"/>
      <c r="F15" s="57"/>
      <c r="G15" s="57"/>
    </row>
    <row r="16" spans="3:7" x14ac:dyDescent="0.25">
      <c r="C16" s="57" t="s">
        <v>51</v>
      </c>
      <c r="D16" s="57"/>
      <c r="E16" s="57"/>
      <c r="F16" s="57"/>
      <c r="G16" s="57"/>
    </row>
    <row r="17" spans="3:7" x14ac:dyDescent="0.25">
      <c r="C17" s="57" t="s">
        <v>52</v>
      </c>
      <c r="D17" s="57"/>
      <c r="E17" s="57"/>
      <c r="F17" s="57"/>
      <c r="G17" s="57"/>
    </row>
    <row r="18" spans="3:7" x14ac:dyDescent="0.25">
      <c r="C18" s="57" t="s">
        <v>53</v>
      </c>
      <c r="D18" s="57"/>
      <c r="E18" s="57"/>
      <c r="F18" s="57"/>
      <c r="G18" s="57"/>
    </row>
    <row r="19" spans="3:7" x14ac:dyDescent="0.25">
      <c r="C19" s="57" t="s">
        <v>46</v>
      </c>
      <c r="D19" s="57"/>
      <c r="E19" s="57"/>
      <c r="F19" s="57"/>
      <c r="G19" s="57"/>
    </row>
    <row r="20" spans="3:7" ht="5.25" customHeight="1" x14ac:dyDescent="0.25"/>
    <row r="21" spans="3:7" ht="6.75" hidden="1" customHeight="1" x14ac:dyDescent="0.25"/>
    <row r="22" spans="3:7" ht="23.25" hidden="1" customHeight="1" x14ac:dyDescent="0.25"/>
    <row r="23" spans="3:7" ht="23.25" hidden="1" customHeight="1" x14ac:dyDescent="0.25"/>
  </sheetData>
  <sheetProtection algorithmName="SHA-512" hashValue="0a/aarXZ6Y81Q3I9bjD/qfg3VjiuM2YWKKow0L/EJD72bObK203GW+4cyKSol3c2PLbeK5k77rI01GPzlPl1og==" saltValue="PJQBt+wU9KYczzrSaGfbHA==" spinCount="100000" sheet="1" objects="1" scenarios="1"/>
  <mergeCells count="10">
    <mergeCell ref="C19:G19"/>
    <mergeCell ref="C18:G18"/>
    <mergeCell ref="C2:G2"/>
    <mergeCell ref="C4:D4"/>
    <mergeCell ref="F4:G4"/>
    <mergeCell ref="C15:G15"/>
    <mergeCell ref="C13:G13"/>
    <mergeCell ref="C14:G14"/>
    <mergeCell ref="C16:G16"/>
    <mergeCell ref="C17:G17"/>
  </mergeCells>
  <conditionalFormatting sqref="E7 D8">
    <cfRule type="expression" dxfId="3" priority="7">
      <formula>$E$7&lt;&gt;""</formula>
    </cfRule>
  </conditionalFormatting>
  <conditionalFormatting sqref="C9:D9">
    <cfRule type="expression" dxfId="2" priority="3">
      <formula>D$5="Cuenta_Corriente"</formula>
    </cfRule>
  </conditionalFormatting>
  <conditionalFormatting sqref="D9">
    <cfRule type="expression" dxfId="1" priority="2">
      <formula>$D$5="Cuenta_Corriente"</formula>
    </cfRule>
  </conditionalFormatting>
  <conditionalFormatting sqref="C6:D6">
    <cfRule type="expression" dxfId="0" priority="1">
      <formula>$D$5="Cuenta_Corriente"</formula>
    </cfRule>
  </conditionalFormatting>
  <dataValidations count="4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supera el establecido para el producto" sqref="D8" xr:uid="{7981BD69-BC3C-4C69-8CF3-3AFF8B8A76B9}">
      <formula1>1</formula1>
      <formula2>72</formula2>
    </dataValidation>
    <dataValidation allowBlank="1" showInputMessage="1" showErrorMessage="1" errorTitle="Error en el plazo" error="Plazo supera el establecido para el producto" sqref="E7" xr:uid="{702ADCEA-4402-42F8-A97A-C71C534099AF}"/>
    <dataValidation type="list" allowBlank="1" showInputMessage="1" showErrorMessage="1" sqref="D6" xr:uid="{8E99A386-4718-4D55-B40F-294AB2414F7E}">
      <formula1>INDIRECT($D$5)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roducto" prompt="Seleccione el producto" xr:uid="{E49B8460-8155-4B18-B85C-987581DFEA61}">
          <x14:formula1>
            <xm:f>Param!$A$5:$A$6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G11"/>
  <sheetViews>
    <sheetView showGridLines="0" topLeftCell="G1" workbookViewId="0">
      <selection activeCell="N12" sqref="N12"/>
    </sheetView>
  </sheetViews>
  <sheetFormatPr baseColWidth="10" defaultColWidth="11.42578125" defaultRowHeight="12" outlineLevelCol="1" x14ac:dyDescent="0.2"/>
  <cols>
    <col min="1" max="1" width="12.42578125" style="40" hidden="1" customWidth="1" outlineLevel="1"/>
    <col min="2" max="2" width="13.140625" style="40" hidden="1" customWidth="1" outlineLevel="1"/>
    <col min="3" max="4" width="12.42578125" style="40" hidden="1" customWidth="1" outlineLevel="1"/>
    <col min="5" max="5" width="9.140625" style="40" hidden="1" customWidth="1" outlineLevel="1"/>
    <col min="6" max="6" width="43" style="40" hidden="1" customWidth="1" outlineLevel="1"/>
    <col min="7" max="7" width="5.7109375" style="40" customWidth="1" collapsed="1"/>
    <col min="8" max="16384" width="11.42578125" style="40"/>
  </cols>
  <sheetData>
    <row r="1" spans="1:6" ht="25.5" x14ac:dyDescent="0.2">
      <c r="A1" s="39" t="s">
        <v>0</v>
      </c>
      <c r="B1" s="39" t="s">
        <v>21</v>
      </c>
      <c r="C1" s="39" t="s">
        <v>26</v>
      </c>
      <c r="D1" s="39" t="s">
        <v>27</v>
      </c>
      <c r="E1" s="39" t="s">
        <v>15</v>
      </c>
      <c r="F1" s="39" t="s">
        <v>1</v>
      </c>
    </row>
    <row r="2" spans="1:6" s="41" customFormat="1" ht="15" customHeight="1" x14ac:dyDescent="0.2">
      <c r="B2" s="42" t="s">
        <v>35</v>
      </c>
      <c r="C2" s="43">
        <v>13400</v>
      </c>
      <c r="D2" s="42" t="s">
        <v>38</v>
      </c>
      <c r="E2" s="44">
        <v>1000000</v>
      </c>
      <c r="F2" s="45"/>
    </row>
    <row r="3" spans="1:6" s="41" customFormat="1" x14ac:dyDescent="0.2">
      <c r="A3" s="46"/>
      <c r="B3" s="42" t="s">
        <v>36</v>
      </c>
      <c r="C3" s="43">
        <v>0</v>
      </c>
      <c r="D3" s="42" t="s">
        <v>38</v>
      </c>
      <c r="E3" s="44"/>
      <c r="F3" s="45"/>
    </row>
    <row r="4" spans="1:6" s="41" customFormat="1" x14ac:dyDescent="0.2">
      <c r="A4" s="46"/>
      <c r="B4" s="42" t="s">
        <v>37</v>
      </c>
      <c r="C4" s="43">
        <v>0</v>
      </c>
      <c r="D4" s="42" t="s">
        <v>38</v>
      </c>
      <c r="E4" s="44"/>
      <c r="F4" s="45"/>
    </row>
    <row r="5" spans="1:6" s="41" customFormat="1" ht="12.75" thickBot="1" x14ac:dyDescent="0.25">
      <c r="A5" s="47" t="s">
        <v>20</v>
      </c>
      <c r="B5" s="48" t="s">
        <v>22</v>
      </c>
      <c r="C5" s="49">
        <v>21400</v>
      </c>
      <c r="D5" s="48" t="s">
        <v>38</v>
      </c>
      <c r="E5" s="50"/>
      <c r="F5" s="51"/>
    </row>
    <row r="6" spans="1:6" s="52" customFormat="1" x14ac:dyDescent="0.2">
      <c r="A6" s="52" t="s">
        <v>40</v>
      </c>
      <c r="B6" s="52" t="s">
        <v>34</v>
      </c>
      <c r="C6" s="43">
        <v>0</v>
      </c>
      <c r="D6" s="53">
        <v>190281</v>
      </c>
      <c r="E6" s="53"/>
    </row>
    <row r="7" spans="1:6" s="52" customFormat="1" x14ac:dyDescent="0.2"/>
    <row r="8" spans="1:6" s="52" customFormat="1" x14ac:dyDescent="0.2"/>
    <row r="9" spans="1:6" s="52" customFormat="1" x14ac:dyDescent="0.2"/>
    <row r="10" spans="1:6" s="52" customFormat="1" x14ac:dyDescent="0.2"/>
    <row r="11" spans="1:6" s="54" customFormat="1" x14ac:dyDescent="0.2"/>
  </sheetData>
  <sheetProtection algorithmName="SHA-512" hashValue="kQpT44lNoDrtzBhjlCn6/zbOYo5B7v0J3B3YukYq/sM1+UI5bAWaB5s1+mQjlYAnUW+XRf9+xImcW/GBTFS2RQ==" saltValue="RMIZX94uY9uKI0cgmiOoGA==" spinCount="100000" sheet="1" select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B4191-5C43-4F4D-B29B-16C75F5F2DF0}">
  <sheetPr codeName="Hoja11"/>
  <dimension ref="A1:N59"/>
  <sheetViews>
    <sheetView showGridLines="0" zoomScale="70" zoomScaleNormal="70" workbookViewId="0">
      <pane xSplit="2" ySplit="15" topLeftCell="C16" activePane="bottomRight" state="frozen"/>
      <selection activeCell="C38" sqref="C38"/>
      <selection pane="topRight" activeCell="C38" sqref="C38"/>
      <selection pane="bottomLeft" activeCell="C38" sqref="C38"/>
      <selection pane="bottomRight" activeCell="C10" sqref="C10"/>
    </sheetView>
  </sheetViews>
  <sheetFormatPr baseColWidth="10" defaultColWidth="0" defaultRowHeight="15" customHeight="1" zeroHeight="1" x14ac:dyDescent="0.25"/>
  <cols>
    <col min="1" max="1" width="3" style="5" customWidth="1"/>
    <col min="2" max="2" width="17.5703125" style="5" bestFit="1" customWidth="1"/>
    <col min="3" max="3" width="16.28515625" style="5" bestFit="1" customWidth="1"/>
    <col min="4" max="4" width="17.42578125" style="5" customWidth="1"/>
    <col min="5" max="5" width="13" style="5" bestFit="1" customWidth="1"/>
    <col min="6" max="6" width="14.7109375" style="5" customWidth="1"/>
    <col min="7" max="7" width="12.140625" style="5" customWidth="1"/>
    <col min="8" max="8" width="12.5703125" style="5" customWidth="1"/>
    <col min="9" max="10" width="16.28515625" style="5" customWidth="1"/>
    <col min="11" max="11" width="17" style="5" bestFit="1" customWidth="1"/>
    <col min="12" max="12" width="14.7109375" style="5" customWidth="1"/>
    <col min="13" max="16384" width="11.42578125" style="5" hidden="1"/>
  </cols>
  <sheetData>
    <row r="1" spans="2:14" x14ac:dyDescent="0.25">
      <c r="B1" s="16"/>
      <c r="C1" s="16"/>
      <c r="D1" s="16"/>
      <c r="E1" s="16"/>
      <c r="F1" s="16"/>
    </row>
    <row r="2" spans="2:14" x14ac:dyDescent="0.25">
      <c r="B2" s="16"/>
      <c r="C2" s="16"/>
      <c r="D2" s="16"/>
      <c r="E2" s="16"/>
      <c r="F2" s="16"/>
    </row>
    <row r="3" spans="2:14" x14ac:dyDescent="0.25">
      <c r="B3" s="17"/>
      <c r="C3" s="16"/>
      <c r="D3" s="16"/>
      <c r="E3" s="16"/>
      <c r="F3" s="16"/>
    </row>
    <row r="4" spans="2:14" ht="15.75" x14ac:dyDescent="0.25">
      <c r="B4" s="61" t="s">
        <v>19</v>
      </c>
      <c r="C4" s="61"/>
      <c r="D4" s="61"/>
      <c r="E4" s="61"/>
      <c r="F4" s="61"/>
      <c r="G4" s="61"/>
    </row>
    <row r="5" spans="2:14" x14ac:dyDescent="0.25">
      <c r="B5" s="18" t="s">
        <v>0</v>
      </c>
      <c r="C5" s="62" t="str">
        <f>+Simulador!$D$5</f>
        <v>Cuenta_Ahorro</v>
      </c>
      <c r="D5" s="63"/>
      <c r="E5" s="63"/>
      <c r="F5" s="19" t="s">
        <v>14</v>
      </c>
      <c r="G5" s="20">
        <f>((1+$K$15)^12)-1</f>
        <v>0.2414342468917321</v>
      </c>
    </row>
    <row r="6" spans="2:14" x14ac:dyDescent="0.25">
      <c r="B6" s="18" t="s">
        <v>21</v>
      </c>
      <c r="C6" s="62" t="str">
        <f>IF($C$5="Cuenta_Corriente","Cuenta Corriente",Simulador!$D$6)</f>
        <v>Brindamas</v>
      </c>
      <c r="D6" s="63"/>
      <c r="E6" s="63"/>
    </row>
    <row r="7" spans="2:14" x14ac:dyDescent="0.25">
      <c r="B7" s="21" t="s">
        <v>23</v>
      </c>
      <c r="C7" s="22" t="str">
        <f>+Simulador!$D$7</f>
        <v>1 SMMLV</v>
      </c>
      <c r="D7" s="21" t="s">
        <v>25</v>
      </c>
      <c r="E7" s="22">
        <f>MID(C7,1,1)*Param!SMMLV</f>
        <v>1000000</v>
      </c>
      <c r="F7" s="23"/>
      <c r="G7" s="23"/>
      <c r="H7" s="23"/>
      <c r="I7" s="23"/>
      <c r="J7" s="23"/>
    </row>
    <row r="8" spans="2:14" x14ac:dyDescent="0.25">
      <c r="B8" s="21" t="s">
        <v>26</v>
      </c>
      <c r="C8" s="24">
        <f>VLOOKUP($C$6,Param!$B$1:$F$6,MATCH(VTU_Ah_Cte!$B$8,Param!$B$1:$F$1,0),0)</f>
        <v>21400</v>
      </c>
      <c r="D8" s="21" t="s">
        <v>27</v>
      </c>
      <c r="E8" s="24" t="str">
        <f>VLOOKUP($C$6,Param!$B$1:$F$6,MATCH(VTU_Ah_Cte!$D$8,Param!$B$1:$F$1,0),0)</f>
        <v>No Dispone</v>
      </c>
      <c r="F8" s="23"/>
      <c r="G8" s="23"/>
      <c r="H8" s="23"/>
      <c r="I8" s="23"/>
      <c r="J8" s="23"/>
    </row>
    <row r="9" spans="2:14" x14ac:dyDescent="0.25">
      <c r="B9" s="25" t="s">
        <v>2</v>
      </c>
      <c r="C9" s="26">
        <f>+Simulador!$D$8</f>
        <v>12</v>
      </c>
      <c r="D9" s="27" t="s">
        <v>28</v>
      </c>
      <c r="E9" s="28">
        <f ca="1">TODAY()</f>
        <v>44582</v>
      </c>
      <c r="F9" s="23"/>
      <c r="G9" s="23"/>
      <c r="H9" s="23"/>
      <c r="I9" s="23"/>
      <c r="J9" s="23"/>
    </row>
    <row r="10" spans="2:14" x14ac:dyDescent="0.25">
      <c r="B10" s="27" t="s">
        <v>3</v>
      </c>
      <c r="C10" s="29">
        <f>IF($C$5="Cuenta_Corriente",0,Simulador!$D$9)</f>
        <v>1E-3</v>
      </c>
      <c r="D10" s="27" t="s">
        <v>4</v>
      </c>
      <c r="E10" s="30">
        <f>((1+C10)^(1/12))-1</f>
        <v>8.3295163273211514E-5</v>
      </c>
      <c r="F10" s="23"/>
      <c r="G10" s="23"/>
      <c r="H10" s="23"/>
      <c r="I10" s="23"/>
      <c r="J10" s="23"/>
    </row>
    <row r="11" spans="2:14" ht="12" customHeight="1" x14ac:dyDescent="0.25">
      <c r="B11" s="27" t="s">
        <v>47</v>
      </c>
      <c r="C11" s="56">
        <v>7.0000000000000007E-2</v>
      </c>
      <c r="K11" s="32"/>
    </row>
    <row r="12" spans="2:14" x14ac:dyDescent="0.25">
      <c r="B12" s="31"/>
      <c r="K12" s="32"/>
    </row>
    <row r="13" spans="2:14" x14ac:dyDescent="0.25">
      <c r="B13" s="31"/>
      <c r="K13" s="32">
        <f>((1+K15)^12)-1</f>
        <v>0.2414342468917321</v>
      </c>
    </row>
    <row r="14" spans="2:14" x14ac:dyDescent="0.25">
      <c r="B14" s="33" t="s">
        <v>29</v>
      </c>
      <c r="C14" s="33" t="s">
        <v>13</v>
      </c>
      <c r="D14" s="33" t="s">
        <v>30</v>
      </c>
      <c r="E14" s="33" t="s">
        <v>12</v>
      </c>
      <c r="F14" s="33" t="s">
        <v>11</v>
      </c>
      <c r="G14" s="33" t="s">
        <v>31</v>
      </c>
      <c r="H14" s="33" t="s">
        <v>32</v>
      </c>
      <c r="I14" s="33" t="s">
        <v>33</v>
      </c>
      <c r="J14" s="33" t="s">
        <v>48</v>
      </c>
      <c r="K14" s="9" t="s">
        <v>10</v>
      </c>
      <c r="L14" s="34"/>
    </row>
    <row r="15" spans="2:14" x14ac:dyDescent="0.25">
      <c r="B15" s="33"/>
      <c r="C15" s="33"/>
      <c r="D15" s="33"/>
      <c r="E15" s="33"/>
      <c r="F15" s="33"/>
      <c r="G15" s="33"/>
      <c r="H15" s="33"/>
      <c r="I15" s="33"/>
      <c r="J15" s="19"/>
      <c r="K15" s="13">
        <f>IRR(K16:K28)</f>
        <v>1.8185661477459814E-2</v>
      </c>
      <c r="L15" s="34"/>
      <c r="M15" s="35"/>
      <c r="N15" s="35"/>
    </row>
    <row r="16" spans="2:14" x14ac:dyDescent="0.25">
      <c r="B16" s="5">
        <v>0</v>
      </c>
      <c r="C16" s="36">
        <f ca="1">+E9</f>
        <v>44582</v>
      </c>
      <c r="D16" s="38">
        <f>$E$7</f>
        <v>1000000</v>
      </c>
      <c r="E16" s="38"/>
      <c r="F16" s="38"/>
      <c r="G16" s="38"/>
      <c r="K16" s="38">
        <f>-D16+G16</f>
        <v>-1000000</v>
      </c>
      <c r="L16" s="37"/>
    </row>
    <row r="17" spans="2:12" x14ac:dyDescent="0.25">
      <c r="B17" s="5">
        <f>B16+1</f>
        <v>1</v>
      </c>
      <c r="C17" s="36">
        <f ca="1">+EDATE(C16,1)</f>
        <v>44613</v>
      </c>
      <c r="D17" s="38">
        <f>D16+H17-I17</f>
        <v>1000083.2951632732</v>
      </c>
      <c r="E17" s="38">
        <f t="shared" ref="E17:E27" si="0">+D16*$E$10</f>
        <v>83.295163273211514</v>
      </c>
      <c r="F17" s="38">
        <f t="shared" ref="F17:F28" si="1">IF($C$8="No Dispone",0,$C$8)</f>
        <v>21400</v>
      </c>
      <c r="G17" s="38">
        <f>IF($E$8="No Dispone",0,$E$8)</f>
        <v>0</v>
      </c>
      <c r="H17" s="38">
        <f>+E17</f>
        <v>83.295163273211514</v>
      </c>
      <c r="I17" s="38"/>
      <c r="J17" s="38">
        <f>H17*$C$11</f>
        <v>5.8306614291248069</v>
      </c>
      <c r="K17" s="38">
        <f t="shared" ref="K17:K26" si="2">ABS(E17-F17-G17-J17)</f>
        <v>21322.535498155914</v>
      </c>
      <c r="L17" s="38"/>
    </row>
    <row r="18" spans="2:12" x14ac:dyDescent="0.25">
      <c r="B18" s="5">
        <f t="shared" ref="B18:B28" si="3">B17+1</f>
        <v>2</v>
      </c>
      <c r="C18" s="36">
        <f ca="1">+EDATE(C17,1)</f>
        <v>44641</v>
      </c>
      <c r="D18" s="38">
        <f t="shared" ref="D18:D27" si="4">D17+H18-I18</f>
        <v>1000166.5972646307</v>
      </c>
      <c r="E18" s="38">
        <f t="shared" si="0"/>
        <v>83.302101357436229</v>
      </c>
      <c r="F18" s="38">
        <f t="shared" si="1"/>
        <v>21400</v>
      </c>
      <c r="G18" s="38"/>
      <c r="H18" s="38">
        <f t="shared" ref="H18:H28" si="5">+E18</f>
        <v>83.302101357436229</v>
      </c>
      <c r="I18" s="38"/>
      <c r="J18" s="38">
        <f t="shared" ref="J18:J28" si="6">H18*$C$11</f>
        <v>5.8311470950205369</v>
      </c>
      <c r="K18" s="38">
        <f t="shared" si="2"/>
        <v>21322.529045737585</v>
      </c>
      <c r="L18" s="38"/>
    </row>
    <row r="19" spans="2:12" x14ac:dyDescent="0.25">
      <c r="B19" s="5">
        <f t="shared" si="3"/>
        <v>3</v>
      </c>
      <c r="C19" s="36">
        <f t="shared" ref="C19:C28" ca="1" si="7">+EDATE(C18,1)</f>
        <v>44672</v>
      </c>
      <c r="D19" s="38">
        <f t="shared" si="4"/>
        <v>1000249.9063046502</v>
      </c>
      <c r="E19" s="38">
        <f t="shared" si="0"/>
        <v>83.309040019569807</v>
      </c>
      <c r="F19" s="38">
        <f t="shared" si="1"/>
        <v>21400</v>
      </c>
      <c r="G19" s="38"/>
      <c r="H19" s="38">
        <f t="shared" si="5"/>
        <v>83.309040019569807</v>
      </c>
      <c r="I19" s="38"/>
      <c r="J19" s="38">
        <f t="shared" si="6"/>
        <v>5.8316328013698868</v>
      </c>
      <c r="K19" s="38">
        <f t="shared" si="2"/>
        <v>21322.522592781803</v>
      </c>
      <c r="L19" s="38"/>
    </row>
    <row r="20" spans="2:12" x14ac:dyDescent="0.25">
      <c r="B20" s="5">
        <f t="shared" si="3"/>
        <v>4</v>
      </c>
      <c r="C20" s="36">
        <f t="shared" ca="1" si="7"/>
        <v>44702</v>
      </c>
      <c r="D20" s="38">
        <f t="shared" si="4"/>
        <v>1000333.2222839099</v>
      </c>
      <c r="E20" s="38">
        <f t="shared" si="0"/>
        <v>83.315979259660367</v>
      </c>
      <c r="F20" s="38">
        <f t="shared" si="1"/>
        <v>21400</v>
      </c>
      <c r="G20" s="38"/>
      <c r="H20" s="38">
        <f t="shared" si="5"/>
        <v>83.315979259660367</v>
      </c>
      <c r="I20" s="38"/>
      <c r="J20" s="38">
        <f t="shared" si="6"/>
        <v>5.8321185481762265</v>
      </c>
      <c r="K20" s="38">
        <f t="shared" si="2"/>
        <v>21322.516139288517</v>
      </c>
      <c r="L20" s="38"/>
    </row>
    <row r="21" spans="2:12" x14ac:dyDescent="0.25">
      <c r="B21" s="5">
        <f t="shared" si="3"/>
        <v>5</v>
      </c>
      <c r="C21" s="36">
        <f t="shared" ca="1" si="7"/>
        <v>44733</v>
      </c>
      <c r="D21" s="38">
        <f t="shared" si="4"/>
        <v>1000416.5452029876</v>
      </c>
      <c r="E21" s="38">
        <f t="shared" si="0"/>
        <v>83.322919077756069</v>
      </c>
      <c r="F21" s="38">
        <f t="shared" si="1"/>
        <v>21400</v>
      </c>
      <c r="G21" s="38"/>
      <c r="H21" s="38">
        <f t="shared" si="5"/>
        <v>83.322919077756069</v>
      </c>
      <c r="I21" s="38"/>
      <c r="J21" s="38">
        <f t="shared" si="6"/>
        <v>5.8326043354429258</v>
      </c>
      <c r="K21" s="38">
        <f t="shared" si="2"/>
        <v>21322.509685257686</v>
      </c>
      <c r="L21" s="38"/>
    </row>
    <row r="22" spans="2:12" x14ac:dyDescent="0.25">
      <c r="B22" s="5">
        <f t="shared" si="3"/>
        <v>6</v>
      </c>
      <c r="C22" s="36">
        <f t="shared" ca="1" si="7"/>
        <v>44763</v>
      </c>
      <c r="D22" s="38">
        <f t="shared" si="4"/>
        <v>1000499.8750624615</v>
      </c>
      <c r="E22" s="38">
        <f t="shared" si="0"/>
        <v>83.329859473905046</v>
      </c>
      <c r="F22" s="38">
        <f t="shared" si="1"/>
        <v>21400</v>
      </c>
      <c r="G22" s="38"/>
      <c r="H22" s="38">
        <f t="shared" si="5"/>
        <v>83.329859473905046</v>
      </c>
      <c r="I22" s="38"/>
      <c r="J22" s="38">
        <f t="shared" si="6"/>
        <v>5.8330901631733534</v>
      </c>
      <c r="K22" s="38">
        <f t="shared" si="2"/>
        <v>21322.503230689268</v>
      </c>
      <c r="L22" s="38"/>
    </row>
    <row r="23" spans="2:12" x14ac:dyDescent="0.25">
      <c r="B23" s="5">
        <f t="shared" si="3"/>
        <v>7</v>
      </c>
      <c r="C23" s="36">
        <f t="shared" ca="1" si="7"/>
        <v>44794</v>
      </c>
      <c r="D23" s="38">
        <f t="shared" si="4"/>
        <v>1000583.2118629096</v>
      </c>
      <c r="E23" s="38">
        <f t="shared" si="0"/>
        <v>83.336800448155444</v>
      </c>
      <c r="F23" s="38">
        <f t="shared" si="1"/>
        <v>21400</v>
      </c>
      <c r="G23" s="38"/>
      <c r="H23" s="38">
        <f t="shared" si="5"/>
        <v>83.336800448155444</v>
      </c>
      <c r="I23" s="38"/>
      <c r="J23" s="38">
        <f t="shared" si="6"/>
        <v>5.8335760313708818</v>
      </c>
      <c r="K23" s="38">
        <f t="shared" si="2"/>
        <v>21322.496775583215</v>
      </c>
      <c r="L23" s="38"/>
    </row>
    <row r="24" spans="2:12" x14ac:dyDescent="0.25">
      <c r="B24" s="5">
        <f t="shared" si="3"/>
        <v>8</v>
      </c>
      <c r="C24" s="36">
        <f t="shared" ca="1" si="7"/>
        <v>44825</v>
      </c>
      <c r="D24" s="38">
        <f t="shared" si="4"/>
        <v>1000666.5556049101</v>
      </c>
      <c r="E24" s="38">
        <f t="shared" si="0"/>
        <v>83.343742000555437</v>
      </c>
      <c r="F24" s="38">
        <f t="shared" si="1"/>
        <v>21400</v>
      </c>
      <c r="G24" s="38"/>
      <c r="H24" s="38">
        <f t="shared" si="5"/>
        <v>83.343742000555437</v>
      </c>
      <c r="I24" s="38"/>
      <c r="J24" s="38">
        <f t="shared" si="6"/>
        <v>5.8340619400388816</v>
      </c>
      <c r="K24" s="38">
        <f t="shared" si="2"/>
        <v>21322.490319939487</v>
      </c>
      <c r="L24" s="38"/>
    </row>
    <row r="25" spans="2:12" x14ac:dyDescent="0.25">
      <c r="B25" s="5">
        <f t="shared" si="3"/>
        <v>9</v>
      </c>
      <c r="C25" s="36">
        <f t="shared" ca="1" si="7"/>
        <v>44855</v>
      </c>
      <c r="D25" s="38">
        <f t="shared" si="4"/>
        <v>1000749.9062890413</v>
      </c>
      <c r="E25" s="38">
        <f t="shared" si="0"/>
        <v>83.350684131153173</v>
      </c>
      <c r="F25" s="38">
        <f t="shared" si="1"/>
        <v>21400</v>
      </c>
      <c r="G25" s="38"/>
      <c r="H25" s="38">
        <f t="shared" si="5"/>
        <v>83.350684131153173</v>
      </c>
      <c r="I25" s="38"/>
      <c r="J25" s="38">
        <f t="shared" si="6"/>
        <v>5.8345478891807225</v>
      </c>
      <c r="K25" s="38">
        <f t="shared" si="2"/>
        <v>21322.483863758029</v>
      </c>
      <c r="L25" s="38"/>
    </row>
    <row r="26" spans="2:12" x14ac:dyDescent="0.25">
      <c r="B26" s="5">
        <f t="shared" si="3"/>
        <v>10</v>
      </c>
      <c r="C26" s="36">
        <f t="shared" ca="1" si="7"/>
        <v>44886</v>
      </c>
      <c r="D26" s="38">
        <f t="shared" si="4"/>
        <v>1000833.2639158813</v>
      </c>
      <c r="E26" s="38">
        <f t="shared" si="0"/>
        <v>83.357626839996811</v>
      </c>
      <c r="F26" s="38">
        <f t="shared" si="1"/>
        <v>21400</v>
      </c>
      <c r="G26" s="38"/>
      <c r="H26" s="38">
        <f t="shared" si="5"/>
        <v>83.357626839996811</v>
      </c>
      <c r="I26" s="38"/>
      <c r="J26" s="38">
        <f t="shared" si="6"/>
        <v>5.8350338787997771</v>
      </c>
      <c r="K26" s="38">
        <f t="shared" si="2"/>
        <v>21322.477407038805</v>
      </c>
      <c r="L26" s="38"/>
    </row>
    <row r="27" spans="2:12" x14ac:dyDescent="0.25">
      <c r="B27" s="5">
        <f t="shared" si="3"/>
        <v>11</v>
      </c>
      <c r="C27" s="36">
        <f t="shared" ca="1" si="7"/>
        <v>44916</v>
      </c>
      <c r="D27" s="38">
        <f t="shared" si="4"/>
        <v>1000916.6284860084</v>
      </c>
      <c r="E27" s="38">
        <f t="shared" si="0"/>
        <v>83.364570127134527</v>
      </c>
      <c r="F27" s="38">
        <f t="shared" si="1"/>
        <v>21400</v>
      </c>
      <c r="G27" s="38"/>
      <c r="H27" s="38">
        <f t="shared" si="5"/>
        <v>83.364570127134527</v>
      </c>
      <c r="I27" s="38"/>
      <c r="J27" s="38">
        <f t="shared" si="6"/>
        <v>5.8355199088994176</v>
      </c>
      <c r="K27" s="38">
        <f>ABS(E27-F27-G27-J27)</f>
        <v>21322.470949781764</v>
      </c>
      <c r="L27" s="38"/>
    </row>
    <row r="28" spans="2:12" x14ac:dyDescent="0.25">
      <c r="B28" s="5">
        <f t="shared" si="3"/>
        <v>12</v>
      </c>
      <c r="C28" s="36">
        <f t="shared" ca="1" si="7"/>
        <v>44947</v>
      </c>
      <c r="D28" s="38">
        <f>D27+H28-I28</f>
        <v>0</v>
      </c>
      <c r="E28" s="38">
        <f>+D27*$E$10</f>
        <v>83.371513992614453</v>
      </c>
      <c r="F28" s="38">
        <f t="shared" si="1"/>
        <v>21400</v>
      </c>
      <c r="G28" s="38"/>
      <c r="H28" s="38">
        <f t="shared" si="5"/>
        <v>83.371513992614453</v>
      </c>
      <c r="I28" s="38">
        <f>D27+E28</f>
        <v>1001000.000000001</v>
      </c>
      <c r="J28" s="38">
        <f t="shared" si="6"/>
        <v>5.8360059794830121</v>
      </c>
      <c r="K28" s="38">
        <f>ABS(E28+I28-F28-G28-J28)</f>
        <v>979677.53550801426</v>
      </c>
      <c r="L28" s="38"/>
    </row>
    <row r="29" spans="2:12" x14ac:dyDescent="0.25">
      <c r="I29" s="38"/>
      <c r="J29" s="38"/>
      <c r="K29" s="38"/>
    </row>
    <row r="30" spans="2:12" x14ac:dyDescent="0.25"/>
    <row r="57" x14ac:dyDescent="0.25"/>
    <row r="58" x14ac:dyDescent="0.25"/>
    <row r="59" x14ac:dyDescent="0.25"/>
  </sheetData>
  <sheetProtection password="FCFC" sheet="1" selectLockedCells="1"/>
  <mergeCells count="3">
    <mergeCell ref="B4:G4"/>
    <mergeCell ref="C5:E5"/>
    <mergeCell ref="C6:E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altText="Plan de Pagos">
                <anchor moveWithCells="1" sizeWithCells="1">
                  <from>
                    <xdr:col>5</xdr:col>
                    <xdr:colOff>180975</xdr:colOff>
                    <xdr:row>7</xdr:row>
                    <xdr:rowOff>57150</xdr:rowOff>
                  </from>
                  <to>
                    <xdr:col>6</xdr:col>
                    <xdr:colOff>962025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Simulador</vt:lpstr>
      <vt:lpstr>Param</vt:lpstr>
      <vt:lpstr>VTU_Ah_Cte</vt:lpstr>
      <vt:lpstr>Cuenta_Ahorro</vt:lpstr>
      <vt:lpstr>Cuenta_Corriente</vt:lpstr>
      <vt:lpstr>Param!SMMLV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Fredy Alexander Tarazona Manrique</cp:lastModifiedBy>
  <dcterms:created xsi:type="dcterms:W3CDTF">2019-10-30T14:58:35Z</dcterms:created>
  <dcterms:modified xsi:type="dcterms:W3CDTF">2022-01-21T14:04:06Z</dcterms:modified>
</cp:coreProperties>
</file>