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80cw4\Compartidos\GerenciaFinanciera\23. Calculadoras\VTU\"/>
    </mc:Choice>
  </mc:AlternateContent>
  <xr:revisionPtr revIDLastSave="0" documentId="13_ncr:1_{DEBF5D24-17FB-4C15-B94A-C9900EE33EEF}" xr6:coauthVersionLast="45" xr6:coauthVersionMax="45" xr10:uidLastSave="{00000000-0000-0000-0000-000000000000}"/>
  <workbookProtection workbookAlgorithmName="SHA-512" workbookHashValue="aorvjQ0DJqc/jz2DMyQMrlIxOAUnd0U/1tBj8pI0a00TTbThuCYKpH0G3x8IvywuHwx9wnQ6jp8b8r8XH5bEPQ==" workbookSaltValue="JVw/P4TA16gNnpMH44Ax/Q==" workbookSpinCount="100000" lockStructure="1"/>
  <bookViews>
    <workbookView xWindow="-120" yWindow="-120" windowWidth="20730" windowHeight="11160" firstSheet="1" activeTab="1" xr2:uid="{58082822-7E55-42F5-A2E0-1AC0CF6C8A8F}"/>
  </bookViews>
  <sheets>
    <sheet name="Flujo" sheetId="2" state="hidden" r:id="rId1"/>
    <sheet name="Simulador" sheetId="4" r:id="rId2"/>
    <sheet name="Param" sheetId="3" state="hidden" r:id="rId3"/>
  </sheets>
  <externalReferences>
    <externalReference r:id="rId4"/>
  </externalReferences>
  <definedNames>
    <definedName name="_AMO_UniqueIdentifier" hidden="1">"'5e236c76-b2eb-4d35-b0fa-e42cf10dae5a'"</definedName>
    <definedName name="Bancaseg_gracia">[1]Calculo_Cuota!$E$22</definedName>
    <definedName name="Bancaseguro">[1]Calculo_Cuota!$C$20</definedName>
    <definedName name="CDT">#REF!</definedName>
    <definedName name="Convenio">[1]Convenios!$A:$F</definedName>
    <definedName name="Credifijo">#REF!</definedName>
    <definedName name="Crediflash">#REF!</definedName>
    <definedName name="Credioficial">#REF!</definedName>
    <definedName name="Cuenta_Ahorro">#REF!</definedName>
    <definedName name="Cuenta_Corriente">#REF!</definedName>
    <definedName name="cuota">Simulador!$D$11</definedName>
    <definedName name="Educativo">#REF!</definedName>
    <definedName name="Est_CR_Libranza">[1]Calculo_Cuota!$C$19</definedName>
    <definedName name="Int_Gracia">[1]Calculo_Cuota!$E$20</definedName>
    <definedName name="Inverprimas">#REF!</definedName>
    <definedName name="Parametro" localSheetId="2">[1]Param!$E$1:$L$11</definedName>
    <definedName name="Parametro">#REF!</definedName>
    <definedName name="Prestaexpress">#REF!</definedName>
    <definedName name="Producto" localSheetId="2">[1]Param!$A$2:$A$6</definedName>
    <definedName name="Producto">#REF!</definedName>
    <definedName name="seguro_gracia">[1]Calculo_Cuota!$E$21</definedName>
    <definedName name="SMMLV" localSheetId="2">[1]Param!$AB$2</definedName>
    <definedName name="SMMLV">#REF!</definedName>
    <definedName name="Variable">#REF!</definedName>
    <definedName name="Vehícul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C2" i="3"/>
  <c r="E7" i="4" l="1"/>
  <c r="G5" i="4" l="1"/>
  <c r="F6" i="4"/>
  <c r="C4" i="2"/>
  <c r="K16" i="2" s="1"/>
  <c r="D10" i="4" l="1"/>
  <c r="K17" i="2"/>
  <c r="D11" i="4" l="1"/>
  <c r="C12" i="2" l="1"/>
  <c r="C11" i="2" s="1"/>
  <c r="D8" i="4"/>
  <c r="C7" i="2" s="1"/>
  <c r="C8" i="2" s="1"/>
  <c r="C9" i="2"/>
  <c r="E8" i="2"/>
  <c r="C6" i="2"/>
  <c r="E10" i="2" s="1"/>
  <c r="J16" i="2" l="1"/>
  <c r="L16" i="2" s="1"/>
  <c r="B17" i="2" l="1"/>
  <c r="D17" i="2" l="1"/>
  <c r="E17" i="2" s="1"/>
  <c r="H17" i="2"/>
  <c r="G17" i="2"/>
  <c r="C17" i="2" l="1"/>
  <c r="F17" i="2"/>
  <c r="I17" i="2" s="1"/>
  <c r="L17" i="2" l="1"/>
  <c r="J17" i="2"/>
  <c r="B18" i="2" l="1"/>
  <c r="H18" i="2" s="1"/>
  <c r="G18" i="2" l="1"/>
  <c r="D18" i="2"/>
  <c r="E18" i="2" s="1"/>
  <c r="C18" i="2" l="1"/>
  <c r="J18" i="2" l="1"/>
  <c r="B19" i="2" s="1"/>
  <c r="F18" i="2"/>
  <c r="I18" i="2" l="1"/>
  <c r="L18" i="2"/>
  <c r="H19" i="2"/>
  <c r="D19" i="2"/>
  <c r="E19" i="2" s="1"/>
  <c r="G19" i="2"/>
  <c r="C19" i="2" l="1"/>
  <c r="J19" i="2" s="1"/>
  <c r="B20" i="2" s="1"/>
  <c r="F19" i="2" l="1"/>
  <c r="I19" i="2" s="1"/>
  <c r="G20" i="2"/>
  <c r="H20" i="2"/>
  <c r="D20" i="2"/>
  <c r="E20" i="2" s="1"/>
  <c r="L19" i="2" l="1"/>
  <c r="C20" i="2"/>
  <c r="J20" i="2" s="1"/>
  <c r="B21" i="2" s="1"/>
  <c r="F20" i="2" l="1"/>
  <c r="H21" i="2"/>
  <c r="D21" i="2"/>
  <c r="E21" i="2" s="1"/>
  <c r="G21" i="2"/>
  <c r="L20" i="2" l="1"/>
  <c r="I20" i="2"/>
  <c r="C21" i="2"/>
  <c r="J21" i="2" s="1"/>
  <c r="B22" i="2" s="1"/>
  <c r="F21" i="2" l="1"/>
  <c r="G22" i="2"/>
  <c r="H22" i="2"/>
  <c r="D22" i="2"/>
  <c r="E22" i="2" s="1"/>
  <c r="L21" i="2" l="1"/>
  <c r="I21" i="2"/>
  <c r="C22" i="2"/>
  <c r="J22" i="2" s="1"/>
  <c r="B23" i="2" s="1"/>
  <c r="F22" i="2" l="1"/>
  <c r="D23" i="2"/>
  <c r="E23" i="2" s="1"/>
  <c r="H23" i="2"/>
  <c r="F23" i="2"/>
  <c r="G23" i="2"/>
  <c r="L22" i="2" l="1"/>
  <c r="I22" i="2"/>
  <c r="L23" i="2"/>
  <c r="C23" i="2"/>
  <c r="J23" i="2" s="1"/>
  <c r="I23" i="2"/>
  <c r="B24" i="2" l="1"/>
  <c r="D24" i="2" l="1"/>
  <c r="E24" i="2" s="1"/>
  <c r="H24" i="2"/>
  <c r="F24" i="2"/>
  <c r="G24" i="2"/>
  <c r="C24" i="2" l="1"/>
  <c r="J24" i="2" s="1"/>
  <c r="B25" i="2" s="1"/>
  <c r="L24" i="2"/>
  <c r="I24" i="2"/>
  <c r="D25" i="2" l="1"/>
  <c r="E25" i="2" s="1"/>
  <c r="H25" i="2"/>
  <c r="F25" i="2"/>
  <c r="G25" i="2"/>
  <c r="C25" i="2" l="1"/>
  <c r="J25" i="2" s="1"/>
  <c r="B26" i="2" s="1"/>
  <c r="H26" i="2" s="1"/>
  <c r="L25" i="2"/>
  <c r="I25" i="2"/>
  <c r="D26" i="2" l="1"/>
  <c r="E26" i="2" s="1"/>
  <c r="G26" i="2"/>
  <c r="C26" i="2" l="1"/>
  <c r="J26" i="2" l="1"/>
  <c r="B27" i="2" s="1"/>
  <c r="F26" i="2"/>
  <c r="L26" i="2" s="1"/>
  <c r="D27" i="2" l="1"/>
  <c r="C27" i="2" s="1"/>
  <c r="J27" i="2" s="1"/>
  <c r="B28" i="2" s="1"/>
  <c r="H27" i="2"/>
  <c r="G27" i="2"/>
  <c r="I26" i="2"/>
  <c r="F27" i="2" l="1"/>
  <c r="L27" i="2" s="1"/>
  <c r="G28" i="2"/>
  <c r="H28" i="2"/>
  <c r="E27" i="2"/>
  <c r="D28" i="2"/>
  <c r="E28" i="2" s="1"/>
  <c r="C28" i="2" l="1"/>
  <c r="I27" i="2"/>
  <c r="J28" i="2"/>
  <c r="B29" i="2" s="1"/>
  <c r="H29" i="2" s="1"/>
  <c r="F28" i="2"/>
  <c r="L28" i="2" s="1"/>
  <c r="I28" i="2" l="1"/>
  <c r="G29" i="2"/>
  <c r="D29" i="2"/>
  <c r="C29" i="2" s="1"/>
  <c r="F29" i="2"/>
  <c r="L29" i="2" l="1"/>
  <c r="I29" i="2"/>
  <c r="E29" i="2"/>
  <c r="J29" i="2"/>
  <c r="B30" i="2" l="1"/>
  <c r="H30" i="2" s="1"/>
  <c r="G30" i="2" l="1"/>
  <c r="D30" i="2"/>
  <c r="E30" i="2" s="1"/>
  <c r="F30" i="2"/>
  <c r="L30" i="2" l="1"/>
  <c r="C30" i="2"/>
  <c r="J30" i="2" s="1"/>
  <c r="B31" i="2" s="1"/>
  <c r="H31" i="2" s="1"/>
  <c r="I30" i="2"/>
  <c r="G31" i="2" l="1"/>
  <c r="D31" i="2"/>
  <c r="E31" i="2" s="1"/>
  <c r="F31" i="2"/>
  <c r="L31" i="2" l="1"/>
  <c r="C31" i="2"/>
  <c r="J31" i="2" s="1"/>
  <c r="I31" i="2"/>
  <c r="B32" i="2" l="1"/>
  <c r="H32" i="2" l="1"/>
  <c r="D32" i="2"/>
  <c r="E32" i="2" s="1"/>
  <c r="G32" i="2"/>
  <c r="C32" i="2" l="1"/>
  <c r="J32" i="2" s="1"/>
  <c r="B33" i="2" s="1"/>
  <c r="H33" i="2" s="1"/>
  <c r="F32" i="2" l="1"/>
  <c r="G33" i="2"/>
  <c r="D33" i="2"/>
  <c r="E33" i="2" s="1"/>
  <c r="F33" i="2"/>
  <c r="L32" i="2" l="1"/>
  <c r="I32" i="2"/>
  <c r="L33" i="2"/>
  <c r="C33" i="2"/>
  <c r="J33" i="2" s="1"/>
  <c r="I33" i="2"/>
  <c r="B34" i="2" l="1"/>
  <c r="D34" i="2" l="1"/>
  <c r="E34" i="2" s="1"/>
  <c r="H34" i="2"/>
  <c r="F34" i="2"/>
  <c r="G34" i="2"/>
  <c r="C34" i="2" l="1"/>
  <c r="J34" i="2" s="1"/>
  <c r="B35" i="2" s="1"/>
  <c r="L34" i="2"/>
  <c r="I34" i="2"/>
  <c r="F35" i="2" l="1"/>
  <c r="H35" i="2"/>
  <c r="D35" i="2"/>
  <c r="E35" i="2" s="1"/>
  <c r="G35" i="2"/>
  <c r="L35" i="2" l="1"/>
  <c r="C35" i="2"/>
  <c r="J35" i="2" s="1"/>
  <c r="I35" i="2"/>
  <c r="B36" i="2" l="1"/>
  <c r="D36" i="2" l="1"/>
  <c r="E36" i="2" s="1"/>
  <c r="H36" i="2"/>
  <c r="G36" i="2"/>
  <c r="C36" i="2" l="1"/>
  <c r="J36" i="2" s="1"/>
  <c r="B37" i="2" s="1"/>
  <c r="F36" i="2"/>
  <c r="L36" i="2" s="1"/>
  <c r="D37" i="2" l="1"/>
  <c r="E37" i="2" s="1"/>
  <c r="H37" i="2"/>
  <c r="I36" i="2"/>
  <c r="G37" i="2"/>
  <c r="C37" i="2"/>
  <c r="F37" i="2"/>
  <c r="L37" i="2" l="1"/>
  <c r="I37" i="2"/>
  <c r="J37" i="2"/>
  <c r="B38" i="2" l="1"/>
  <c r="H38" i="2" s="1"/>
  <c r="G38" i="2" l="1"/>
  <c r="F38" i="2"/>
  <c r="D38" i="2"/>
  <c r="L38" i="2" l="1"/>
  <c r="I38" i="2"/>
  <c r="E38" i="2"/>
  <c r="C38" i="2"/>
  <c r="J38" i="2" s="1"/>
  <c r="B39" i="2" l="1"/>
  <c r="H39" i="2" s="1"/>
  <c r="G39" i="2" l="1"/>
  <c r="D39" i="2"/>
  <c r="E39" i="2" s="1"/>
  <c r="F39" i="2"/>
  <c r="L39" i="2" l="1"/>
  <c r="C39" i="2"/>
  <c r="J39" i="2" s="1"/>
  <c r="I39" i="2"/>
  <c r="B40" i="2" l="1"/>
  <c r="H40" i="2" s="1"/>
  <c r="G40" i="2" l="1"/>
  <c r="D40" i="2"/>
  <c r="E40" i="2" s="1"/>
  <c r="C40" i="2" l="1"/>
  <c r="J40" i="2" s="1"/>
  <c r="F40" i="2" l="1"/>
  <c r="L40" i="2" s="1"/>
  <c r="B41" i="2"/>
  <c r="H41" i="2" s="1"/>
  <c r="I40" i="2" l="1"/>
  <c r="G41" i="2"/>
  <c r="D41" i="2"/>
  <c r="C41" i="2" s="1"/>
  <c r="J41" i="2" s="1"/>
  <c r="F41" i="2"/>
  <c r="L41" i="2" l="1"/>
  <c r="I41" i="2"/>
  <c r="E41" i="2"/>
  <c r="B42" i="2"/>
  <c r="H42" i="2" s="1"/>
  <c r="G42" i="2" l="1"/>
  <c r="D42" i="2"/>
  <c r="C42" i="2" s="1"/>
  <c r="J42" i="2" s="1"/>
  <c r="F42" i="2"/>
  <c r="L42" i="2" l="1"/>
  <c r="I42" i="2"/>
  <c r="E42" i="2"/>
  <c r="B43" i="2"/>
  <c r="H43" i="2" s="1"/>
  <c r="G43" i="2" l="1"/>
  <c r="D43" i="2"/>
  <c r="C43" i="2" s="1"/>
  <c r="J43" i="2" s="1"/>
  <c r="F43" i="2"/>
  <c r="L43" i="2" l="1"/>
  <c r="I43" i="2"/>
  <c r="E43" i="2"/>
  <c r="B44" i="2"/>
  <c r="H44" i="2" s="1"/>
  <c r="D44" i="2" l="1"/>
  <c r="E44" i="2" s="1"/>
  <c r="G44" i="2"/>
  <c r="F44" i="2"/>
  <c r="L44" i="2" l="1"/>
  <c r="C44" i="2"/>
  <c r="J44" i="2" s="1"/>
  <c r="B45" i="2" s="1"/>
  <c r="I44" i="2"/>
  <c r="D45" i="2" l="1"/>
  <c r="E45" i="2" s="1"/>
  <c r="H45" i="2"/>
  <c r="G45" i="2"/>
  <c r="F45" i="2"/>
  <c r="C45" i="2" l="1"/>
  <c r="J45" i="2" s="1"/>
  <c r="L45" i="2"/>
  <c r="I45" i="2"/>
  <c r="B46" i="2" l="1"/>
  <c r="H46" i="2" s="1"/>
  <c r="D46" i="2" l="1"/>
  <c r="E46" i="2" s="1"/>
  <c r="G46" i="2"/>
  <c r="F46" i="2"/>
  <c r="L46" i="2" l="1"/>
  <c r="C46" i="2"/>
  <c r="J46" i="2" s="1"/>
  <c r="B47" i="2" s="1"/>
  <c r="H47" i="2" s="1"/>
  <c r="I46" i="2"/>
  <c r="G47" i="2" l="1"/>
  <c r="F47" i="2"/>
  <c r="D47" i="2"/>
  <c r="C47" i="2" s="1"/>
  <c r="L47" i="2" l="1"/>
  <c r="I47" i="2"/>
  <c r="E47" i="2"/>
  <c r="J47" i="2"/>
  <c r="B48" i="2" l="1"/>
  <c r="H48" i="2" s="1"/>
  <c r="G48" i="2" l="1"/>
  <c r="D48" i="2"/>
  <c r="C48" i="2" s="1"/>
  <c r="J48" i="2" s="1"/>
  <c r="B49" i="2" s="1"/>
  <c r="H49" i="2" s="1"/>
  <c r="F48" i="2"/>
  <c r="L48" i="2" l="1"/>
  <c r="I48" i="2"/>
  <c r="G49" i="2"/>
  <c r="E48" i="2"/>
  <c r="D49" i="2"/>
  <c r="C49" i="2" s="1"/>
  <c r="F49" i="2"/>
  <c r="L49" i="2" l="1"/>
  <c r="I49" i="2"/>
  <c r="E49" i="2"/>
  <c r="J49" i="2"/>
  <c r="B50" i="2" s="1"/>
  <c r="H50" i="2" s="1"/>
  <c r="G50" i="2" l="1"/>
  <c r="F50" i="2"/>
  <c r="D50" i="2"/>
  <c r="C50" i="2" s="1"/>
  <c r="L50" i="2" l="1"/>
  <c r="I50" i="2"/>
  <c r="E50" i="2"/>
  <c r="J50" i="2" l="1"/>
  <c r="B51" i="2" l="1"/>
  <c r="H51" i="2" s="1"/>
  <c r="G51" i="2" l="1"/>
  <c r="F51" i="2"/>
  <c r="D51" i="2"/>
  <c r="C51" i="2" s="1"/>
  <c r="L51" i="2" l="1"/>
  <c r="I51" i="2"/>
  <c r="E51" i="2"/>
  <c r="J51" i="2"/>
  <c r="B52" i="2" l="1"/>
  <c r="H52" i="2" s="1"/>
  <c r="G52" i="2" l="1"/>
  <c r="F52" i="2"/>
  <c r="D52" i="2"/>
  <c r="C52" i="2" s="1"/>
  <c r="L52" i="2" l="1"/>
  <c r="I52" i="2"/>
  <c r="E52" i="2"/>
  <c r="J52" i="2" l="1"/>
  <c r="B53" i="2" l="1"/>
  <c r="H53" i="2" s="1"/>
  <c r="G53" i="2" l="1"/>
  <c r="F53" i="2"/>
  <c r="D53" i="2"/>
  <c r="E53" i="2" s="1"/>
  <c r="L53" i="2" l="1"/>
  <c r="I53" i="2"/>
  <c r="C53" i="2"/>
  <c r="J53" i="2" s="1"/>
  <c r="B54" i="2" l="1"/>
  <c r="D54" i="2" l="1"/>
  <c r="C54" i="2" s="1"/>
  <c r="H54" i="2"/>
  <c r="G54" i="2"/>
  <c r="F54" i="2"/>
  <c r="E54" i="2" l="1"/>
  <c r="L54" i="2"/>
  <c r="I54" i="2"/>
  <c r="J54" i="2"/>
  <c r="B55" i="2" l="1"/>
  <c r="H55" i="2" s="1"/>
  <c r="G55" i="2" l="1"/>
  <c r="F55" i="2"/>
  <c r="D55" i="2"/>
  <c r="C55" i="2" s="1"/>
  <c r="L55" i="2" l="1"/>
  <c r="I55" i="2"/>
  <c r="E55" i="2"/>
  <c r="J55" i="2" l="1"/>
  <c r="B56" i="2" l="1"/>
  <c r="H56" i="2" s="1"/>
  <c r="G56" i="2" l="1"/>
  <c r="D56" i="2"/>
  <c r="C56" i="2" s="1"/>
  <c r="J56" i="2" s="1"/>
  <c r="F56" i="2"/>
  <c r="L56" i="2" l="1"/>
  <c r="I56" i="2"/>
  <c r="E56" i="2"/>
  <c r="B57" i="2"/>
  <c r="H57" i="2" s="1"/>
  <c r="G57" i="2" l="1"/>
  <c r="F57" i="2"/>
  <c r="D57" i="2"/>
  <c r="C57" i="2" s="1"/>
  <c r="L57" i="2" l="1"/>
  <c r="I57" i="2"/>
  <c r="E57" i="2"/>
  <c r="J57" i="2"/>
  <c r="B58" i="2" l="1"/>
  <c r="H58" i="2" s="1"/>
  <c r="G58" i="2" l="1"/>
  <c r="F58" i="2"/>
  <c r="D58" i="2"/>
  <c r="C58" i="2" s="1"/>
  <c r="L58" i="2" l="1"/>
  <c r="I58" i="2"/>
  <c r="E58" i="2"/>
  <c r="J58" i="2" l="1"/>
  <c r="B59" i="2" l="1"/>
  <c r="H59" i="2" s="1"/>
  <c r="G59" i="2" l="1"/>
  <c r="D59" i="2"/>
  <c r="C59" i="2" s="1"/>
  <c r="J59" i="2" s="1"/>
  <c r="B60" i="2" s="1"/>
  <c r="H60" i="2" s="1"/>
  <c r="F59" i="2"/>
  <c r="L59" i="2" l="1"/>
  <c r="I59" i="2"/>
  <c r="G60" i="2"/>
  <c r="E59" i="2"/>
  <c r="F60" i="2"/>
  <c r="D60" i="2"/>
  <c r="L60" i="2" l="1"/>
  <c r="I60" i="2"/>
  <c r="E60" i="2"/>
  <c r="C60" i="2"/>
  <c r="J60" i="2" s="1"/>
  <c r="B61" i="2" l="1"/>
  <c r="H61" i="2" s="1"/>
  <c r="G61" i="2" l="1"/>
  <c r="D61" i="2"/>
  <c r="C61" i="2" s="1"/>
  <c r="F61" i="2"/>
  <c r="L61" i="2" l="1"/>
  <c r="I61" i="2"/>
  <c r="E61" i="2"/>
  <c r="J61" i="2"/>
  <c r="B62" i="2" l="1"/>
  <c r="H62" i="2" s="1"/>
  <c r="G62" i="2" l="1"/>
  <c r="F62" i="2"/>
  <c r="D62" i="2"/>
  <c r="C62" i="2" s="1"/>
  <c r="L62" i="2" l="1"/>
  <c r="I62" i="2"/>
  <c r="E62" i="2"/>
  <c r="J62" i="2" l="1"/>
  <c r="B63" i="2" l="1"/>
  <c r="H63" i="2" s="1"/>
  <c r="G63" i="2" l="1"/>
  <c r="F63" i="2"/>
  <c r="D63" i="2"/>
  <c r="C63" i="2" s="1"/>
  <c r="L63" i="2" l="1"/>
  <c r="I63" i="2"/>
  <c r="E63" i="2"/>
  <c r="J63" i="2" l="1"/>
  <c r="B64" i="2" l="1"/>
  <c r="H64" i="2" s="1"/>
  <c r="G64" i="2" l="1"/>
  <c r="F64" i="2"/>
  <c r="D64" i="2"/>
  <c r="L64" i="2" l="1"/>
  <c r="I64" i="2"/>
  <c r="E64" i="2"/>
  <c r="C64" i="2"/>
  <c r="J64" i="2" s="1"/>
  <c r="B65" i="2" l="1"/>
  <c r="H65" i="2" s="1"/>
  <c r="G65" i="2" l="1"/>
  <c r="F65" i="2"/>
  <c r="D65" i="2"/>
  <c r="L65" i="2" l="1"/>
  <c r="I65" i="2"/>
  <c r="E65" i="2"/>
  <c r="C65" i="2"/>
  <c r="J65" i="2" s="1"/>
  <c r="B66" i="2" l="1"/>
  <c r="H66" i="2" s="1"/>
  <c r="G66" i="2" l="1"/>
  <c r="D66" i="2"/>
  <c r="C66" i="2" s="1"/>
  <c r="J66" i="2" s="1"/>
  <c r="F66" i="2" l="1"/>
  <c r="I66" i="2" s="1"/>
  <c r="E66" i="2"/>
  <c r="B67" i="2"/>
  <c r="H67" i="2" s="1"/>
  <c r="L66" i="2" l="1"/>
  <c r="G67" i="2"/>
  <c r="F67" i="2"/>
  <c r="D67" i="2"/>
  <c r="L67" i="2" l="1"/>
  <c r="I67" i="2"/>
  <c r="E67" i="2"/>
  <c r="C67" i="2"/>
  <c r="J67" i="2" s="1"/>
  <c r="B68" i="2" l="1"/>
  <c r="H68" i="2" s="1"/>
  <c r="G68" i="2" l="1"/>
  <c r="D68" i="2"/>
  <c r="C68" i="2" s="1"/>
  <c r="J68" i="2" s="1"/>
  <c r="F68" i="2"/>
  <c r="L68" i="2" l="1"/>
  <c r="I68" i="2"/>
  <c r="E68" i="2"/>
  <c r="B69" i="2"/>
  <c r="H69" i="2" s="1"/>
  <c r="G69" i="2" l="1"/>
  <c r="F69" i="2"/>
  <c r="D69" i="2"/>
  <c r="E69" i="2" s="1"/>
  <c r="L69" i="2" l="1"/>
  <c r="I69" i="2"/>
  <c r="C69" i="2"/>
  <c r="J69" i="2" s="1"/>
  <c r="B70" i="2" l="1"/>
  <c r="H70" i="2" s="1"/>
  <c r="G70" i="2" l="1"/>
  <c r="F70" i="2"/>
  <c r="D70" i="2"/>
  <c r="C70" i="2" s="1"/>
  <c r="L70" i="2" l="1"/>
  <c r="I70" i="2"/>
  <c r="E70" i="2"/>
  <c r="J70" i="2" l="1"/>
  <c r="B71" i="2" l="1"/>
  <c r="H71" i="2" s="1"/>
  <c r="G71" i="2" l="1"/>
  <c r="F71" i="2"/>
  <c r="D71" i="2"/>
  <c r="E71" i="2" s="1"/>
  <c r="L71" i="2" l="1"/>
  <c r="I71" i="2"/>
  <c r="C71" i="2"/>
  <c r="J71" i="2" s="1"/>
  <c r="B72" i="2" l="1"/>
  <c r="H72" i="2" s="1"/>
  <c r="G72" i="2" l="1"/>
  <c r="F72" i="2"/>
  <c r="D72" i="2"/>
  <c r="C72" i="2" s="1"/>
  <c r="L72" i="2" l="1"/>
  <c r="I72" i="2"/>
  <c r="E72" i="2"/>
  <c r="J72" i="2" l="1"/>
  <c r="B73" i="2" l="1"/>
  <c r="H73" i="2" s="1"/>
  <c r="G73" i="2" l="1"/>
  <c r="F73" i="2"/>
  <c r="D73" i="2"/>
  <c r="C73" i="2" s="1"/>
  <c r="L73" i="2" l="1"/>
  <c r="I73" i="2"/>
  <c r="E73" i="2"/>
  <c r="J73" i="2" l="1"/>
  <c r="B74" i="2" l="1"/>
  <c r="H74" i="2" s="1"/>
  <c r="G74" i="2" l="1"/>
  <c r="F74" i="2"/>
  <c r="D74" i="2"/>
  <c r="E74" i="2" s="1"/>
  <c r="L74" i="2" l="1"/>
  <c r="I74" i="2"/>
  <c r="C74" i="2"/>
  <c r="J74" i="2" s="1"/>
  <c r="B75" i="2" s="1"/>
  <c r="H75" i="2" s="1"/>
  <c r="G75" i="2" l="1"/>
  <c r="D75" i="2"/>
  <c r="C75" i="2" s="1"/>
  <c r="J75" i="2" s="1"/>
  <c r="B76" i="2" s="1"/>
  <c r="H76" i="2" s="1"/>
  <c r="F75" i="2" l="1"/>
  <c r="L75" i="2" s="1"/>
  <c r="E75" i="2"/>
  <c r="G76" i="2"/>
  <c r="D76" i="2"/>
  <c r="I75" i="2" l="1"/>
  <c r="C76" i="2"/>
  <c r="J76" i="2" s="1"/>
  <c r="B77" i="2" s="1"/>
  <c r="E76" i="2"/>
  <c r="G77" i="2" l="1"/>
  <c r="H77" i="2"/>
  <c r="F76" i="2"/>
  <c r="L76" i="2" s="1"/>
  <c r="D77" i="2"/>
  <c r="C77" i="2" s="1"/>
  <c r="J77" i="2" s="1"/>
  <c r="B78" i="2" s="1"/>
  <c r="H78" i="2" s="1"/>
  <c r="F77" i="2" l="1"/>
  <c r="L77" i="2" s="1"/>
  <c r="I76" i="2"/>
  <c r="D78" i="2"/>
  <c r="E78" i="2" s="1"/>
  <c r="F78" i="2"/>
  <c r="G78" i="2"/>
  <c r="C78" i="2"/>
  <c r="J78" i="2" s="1"/>
  <c r="E77" i="2"/>
  <c r="I77" i="2" l="1"/>
  <c r="L78" i="2"/>
  <c r="B79" i="2"/>
  <c r="I78" i="2"/>
  <c r="D79" i="2" l="1"/>
  <c r="H79" i="2"/>
  <c r="C79" i="2"/>
  <c r="J79" i="2" s="1"/>
  <c r="G79" i="2"/>
  <c r="F79" i="2"/>
  <c r="E79" i="2"/>
  <c r="L79" i="2" l="1"/>
  <c r="B80" i="2"/>
  <c r="I79" i="2"/>
  <c r="D80" i="2" l="1"/>
  <c r="H80" i="2"/>
  <c r="G80" i="2"/>
  <c r="E80" i="2"/>
  <c r="C80" i="2"/>
  <c r="J80" i="2" s="1"/>
  <c r="F80" i="2"/>
  <c r="L80" i="2" l="1"/>
  <c r="B81" i="2"/>
  <c r="H81" i="2" s="1"/>
  <c r="I80" i="2"/>
  <c r="F81" i="2" l="1"/>
  <c r="G81" i="2"/>
  <c r="D81" i="2"/>
  <c r="E81" i="2" s="1"/>
  <c r="I81" i="2" l="1"/>
  <c r="L81" i="2"/>
  <c r="C81" i="2"/>
  <c r="J81" i="2" s="1"/>
  <c r="B82" i="2" l="1"/>
  <c r="H82" i="2" s="1"/>
  <c r="G82" i="2" l="1"/>
  <c r="F82" i="2"/>
  <c r="D82" i="2"/>
  <c r="E82" i="2" s="1"/>
  <c r="L82" i="2" l="1"/>
  <c r="C82" i="2"/>
  <c r="J82" i="2" s="1"/>
  <c r="B83" i="2" s="1"/>
  <c r="H83" i="2" s="1"/>
  <c r="I82" i="2"/>
  <c r="F83" i="2" l="1"/>
  <c r="G83" i="2"/>
  <c r="D83" i="2"/>
  <c r="C83" i="2" s="1"/>
  <c r="J83" i="2" s="1"/>
  <c r="L83" i="2" l="1"/>
  <c r="I83" i="2"/>
  <c r="B84" i="2"/>
  <c r="H84" i="2" s="1"/>
  <c r="E83" i="2"/>
  <c r="G84" i="2" l="1"/>
  <c r="F84" i="2"/>
  <c r="D84" i="2"/>
  <c r="E84" i="2" s="1"/>
  <c r="L84" i="2" l="1"/>
  <c r="C84" i="2"/>
  <c r="J84" i="2" s="1"/>
  <c r="I84" i="2"/>
  <c r="B85" i="2" l="1"/>
  <c r="H85" i="2" s="1"/>
  <c r="G85" i="2" l="1"/>
  <c r="F85" i="2"/>
  <c r="D85" i="2"/>
  <c r="E85" i="2" s="1"/>
  <c r="L85" i="2" l="1"/>
  <c r="I85" i="2"/>
  <c r="C85" i="2"/>
  <c r="J85" i="2" s="1"/>
  <c r="B86" i="2" l="1"/>
  <c r="H86" i="2" s="1"/>
  <c r="G86" i="2" l="1"/>
  <c r="D86" i="2"/>
  <c r="E86" i="2" s="1"/>
  <c r="C86" i="2" l="1"/>
  <c r="J86" i="2" s="1"/>
  <c r="F86" i="2" l="1"/>
  <c r="L86" i="2" s="1"/>
  <c r="B87" i="2"/>
  <c r="H87" i="2" s="1"/>
  <c r="I86" i="2" l="1"/>
  <c r="G87" i="2"/>
  <c r="F87" i="2"/>
  <c r="D87" i="2"/>
  <c r="E87" i="2" s="1"/>
  <c r="L87" i="2" l="1"/>
  <c r="C87" i="2"/>
  <c r="J87" i="2" s="1"/>
  <c r="B88" i="2" s="1"/>
  <c r="H88" i="2" s="1"/>
  <c r="I87" i="2"/>
  <c r="G88" i="2" l="1"/>
  <c r="D88" i="2"/>
  <c r="C88" i="2" s="1"/>
  <c r="J88" i="2" s="1"/>
  <c r="F88" i="2" l="1"/>
  <c r="L88" i="2" s="1"/>
  <c r="I88" i="2"/>
  <c r="B89" i="2"/>
  <c r="H89" i="2" s="1"/>
  <c r="E88" i="2"/>
  <c r="F89" i="2" l="1"/>
  <c r="G89" i="2"/>
  <c r="D89" i="2"/>
  <c r="E89" i="2" s="1"/>
  <c r="L89" i="2" l="1"/>
  <c r="C89" i="2"/>
  <c r="J89" i="2" s="1"/>
  <c r="I89" i="2"/>
  <c r="B90" i="2" l="1"/>
  <c r="H90" i="2" s="1"/>
  <c r="F90" i="2" l="1"/>
  <c r="G90" i="2"/>
  <c r="D90" i="2"/>
  <c r="C90" i="2" s="1"/>
  <c r="J90" i="2" s="1"/>
  <c r="I90" i="2" l="1"/>
  <c r="L90" i="2"/>
  <c r="B91" i="2"/>
  <c r="H91" i="2" s="1"/>
  <c r="E90" i="2"/>
  <c r="G91" i="2" l="1"/>
  <c r="F91" i="2"/>
  <c r="D91" i="2"/>
  <c r="C91" i="2" s="1"/>
  <c r="J91" i="2" s="1"/>
  <c r="L91" i="2" l="1"/>
  <c r="B92" i="2"/>
  <c r="H92" i="2" s="1"/>
  <c r="E91" i="2"/>
  <c r="I91" i="2"/>
  <c r="G92" i="2" l="1"/>
  <c r="F92" i="2"/>
  <c r="D92" i="2"/>
  <c r="C92" i="2" s="1"/>
  <c r="J92" i="2" s="1"/>
  <c r="L92" i="2" l="1"/>
  <c r="B93" i="2"/>
  <c r="H93" i="2" s="1"/>
  <c r="E92" i="2"/>
  <c r="I92" i="2"/>
  <c r="G93" i="2" l="1"/>
  <c r="F93" i="2"/>
  <c r="D93" i="2"/>
  <c r="C93" i="2" s="1"/>
  <c r="J93" i="2" s="1"/>
  <c r="L93" i="2" l="1"/>
  <c r="B94" i="2"/>
  <c r="H94" i="2" s="1"/>
  <c r="E93" i="2"/>
  <c r="I93" i="2"/>
  <c r="G94" i="2" l="1"/>
  <c r="D94" i="2"/>
  <c r="E94" i="2" s="1"/>
  <c r="C94" i="2" l="1"/>
  <c r="J94" i="2" s="1"/>
  <c r="B95" i="2" s="1"/>
  <c r="H95" i="2" s="1"/>
  <c r="F94" i="2" l="1"/>
  <c r="L94" i="2" s="1"/>
  <c r="G95" i="2"/>
  <c r="F95" i="2"/>
  <c r="D95" i="2"/>
  <c r="E95" i="2" s="1"/>
  <c r="L95" i="2" l="1"/>
  <c r="I94" i="2"/>
  <c r="C95" i="2"/>
  <c r="J95" i="2" s="1"/>
  <c r="B96" i="2" s="1"/>
  <c r="H96" i="2" s="1"/>
  <c r="I95" i="2"/>
  <c r="G96" i="2" l="1"/>
  <c r="D96" i="2"/>
  <c r="C96" i="2" s="1"/>
  <c r="J96" i="2" s="1"/>
  <c r="F96" i="2" l="1"/>
  <c r="L96" i="2" s="1"/>
  <c r="B97" i="2"/>
  <c r="H97" i="2" s="1"/>
  <c r="E96" i="2"/>
  <c r="I96" i="2"/>
  <c r="G97" i="2" l="1"/>
  <c r="F97" i="2"/>
  <c r="D97" i="2"/>
  <c r="C97" i="2" s="1"/>
  <c r="J97" i="2" s="1"/>
  <c r="L97" i="2" l="1"/>
  <c r="B98" i="2"/>
  <c r="E97" i="2"/>
  <c r="I97" i="2"/>
  <c r="D98" i="2" l="1"/>
  <c r="H98" i="2"/>
  <c r="E98" i="2"/>
  <c r="G98" i="2"/>
  <c r="C98" i="2"/>
  <c r="J98" i="2" s="1"/>
  <c r="F98" i="2"/>
  <c r="L98" i="2" l="1"/>
  <c r="B99" i="2"/>
  <c r="H99" i="2" s="1"/>
  <c r="I98" i="2"/>
  <c r="G99" i="2" l="1"/>
  <c r="F99" i="2"/>
  <c r="D99" i="2"/>
  <c r="E99" i="2" s="1"/>
  <c r="L99" i="2" l="1"/>
  <c r="I99" i="2"/>
  <c r="C99" i="2"/>
  <c r="J99" i="2" s="1"/>
  <c r="B100" i="2" l="1"/>
  <c r="D100" i="2" l="1"/>
  <c r="H100" i="2"/>
  <c r="E100" i="2"/>
  <c r="C100" i="2"/>
  <c r="J100" i="2" s="1"/>
  <c r="B101" i="2" s="1"/>
  <c r="H101" i="2" s="1"/>
  <c r="G100" i="2"/>
  <c r="F100" i="2"/>
  <c r="L100" i="2" l="1"/>
  <c r="G101" i="2"/>
  <c r="F101" i="2"/>
  <c r="D101" i="2"/>
  <c r="E101" i="2" s="1"/>
  <c r="I100" i="2"/>
  <c r="L101" i="2" l="1"/>
  <c r="C101" i="2"/>
  <c r="J101" i="2" s="1"/>
  <c r="B102" i="2" s="1"/>
  <c r="H102" i="2" s="1"/>
  <c r="I101" i="2"/>
  <c r="G102" i="2" l="1"/>
  <c r="F102" i="2"/>
  <c r="D102" i="2"/>
  <c r="E102" i="2" s="1"/>
  <c r="L102" i="2" l="1"/>
  <c r="C102" i="2"/>
  <c r="J102" i="2" s="1"/>
  <c r="I102" i="2"/>
  <c r="B103" i="2" l="1"/>
  <c r="D103" i="2" l="1"/>
  <c r="H103" i="2"/>
  <c r="E103" i="2"/>
  <c r="G103" i="2"/>
  <c r="F103" i="2"/>
  <c r="C103" i="2"/>
  <c r="J103" i="2" s="1"/>
  <c r="L103" i="2" l="1"/>
  <c r="B104" i="2"/>
  <c r="I103" i="2"/>
  <c r="D104" i="2" l="1"/>
  <c r="H104" i="2"/>
  <c r="E104" i="2"/>
  <c r="C104" i="2"/>
  <c r="J104" i="2" s="1"/>
  <c r="B105" i="2" s="1"/>
  <c r="H105" i="2" s="1"/>
  <c r="G104" i="2"/>
  <c r="F104" i="2"/>
  <c r="L104" i="2" l="1"/>
  <c r="I104" i="2"/>
  <c r="D105" i="2"/>
  <c r="F105" i="2"/>
  <c r="G105" i="2"/>
  <c r="E105" i="2"/>
  <c r="C105" i="2"/>
  <c r="J105" i="2" s="1"/>
  <c r="I105" i="2" l="1"/>
  <c r="L105" i="2"/>
  <c r="B106" i="2"/>
  <c r="H106" i="2" s="1"/>
  <c r="G106" i="2" l="1"/>
  <c r="F106" i="2"/>
  <c r="D106" i="2"/>
  <c r="E106" i="2" s="1"/>
  <c r="L106" i="2" l="1"/>
  <c r="C106" i="2"/>
  <c r="J106" i="2" s="1"/>
  <c r="I106" i="2"/>
  <c r="B107" i="2" l="1"/>
  <c r="H107" i="2" s="1"/>
  <c r="G107" i="2" l="1"/>
  <c r="F107" i="2"/>
  <c r="D107" i="2"/>
  <c r="E107" i="2" s="1"/>
  <c r="L107" i="2" l="1"/>
  <c r="I107" i="2"/>
  <c r="C107" i="2"/>
  <c r="J107" i="2" s="1"/>
  <c r="B108" i="2" l="1"/>
  <c r="H108" i="2" s="1"/>
  <c r="F108" i="2" l="1"/>
  <c r="G108" i="2"/>
  <c r="D108" i="2"/>
  <c r="E108" i="2" s="1"/>
  <c r="L108" i="2" l="1"/>
  <c r="C108" i="2"/>
  <c r="J108" i="2" s="1"/>
  <c r="I108" i="2"/>
  <c r="B109" i="2" l="1"/>
  <c r="H109" i="2" s="1"/>
  <c r="G109" i="2" l="1"/>
  <c r="F109" i="2"/>
  <c r="D109" i="2"/>
  <c r="C109" i="2" s="1"/>
  <c r="J109" i="2" s="1"/>
  <c r="L109" i="2" l="1"/>
  <c r="B110" i="2"/>
  <c r="H110" i="2" s="1"/>
  <c r="E109" i="2"/>
  <c r="I109" i="2"/>
  <c r="G110" i="2" l="1"/>
  <c r="F110" i="2"/>
  <c r="D110" i="2"/>
  <c r="E110" i="2" s="1"/>
  <c r="L110" i="2" l="1"/>
  <c r="I110" i="2"/>
  <c r="C110" i="2"/>
  <c r="J110" i="2" s="1"/>
  <c r="B111" i="2" l="1"/>
  <c r="H111" i="2" s="1"/>
  <c r="F111" i="2" l="1"/>
  <c r="G111" i="2"/>
  <c r="D111" i="2"/>
  <c r="E111" i="2" s="1"/>
  <c r="I111" i="2" l="1"/>
  <c r="L111" i="2"/>
  <c r="C111" i="2"/>
  <c r="J111" i="2" s="1"/>
  <c r="B112" i="2" l="1"/>
  <c r="H112" i="2" s="1"/>
  <c r="F112" i="2" l="1"/>
  <c r="G112" i="2"/>
  <c r="D112" i="2"/>
  <c r="C112" i="2" s="1"/>
  <c r="J112" i="2" s="1"/>
  <c r="L112" i="2" l="1"/>
  <c r="I112" i="2"/>
  <c r="B113" i="2"/>
  <c r="H113" i="2" s="1"/>
  <c r="E112" i="2"/>
  <c r="F113" i="2" l="1"/>
  <c r="G113" i="2"/>
  <c r="D113" i="2"/>
  <c r="E113" i="2" s="1"/>
  <c r="I113" i="2" l="1"/>
  <c r="L113" i="2"/>
  <c r="C113" i="2"/>
  <c r="J113" i="2" s="1"/>
  <c r="B114" i="2" l="1"/>
  <c r="H114" i="2" s="1"/>
  <c r="G114" i="2" l="1"/>
  <c r="F114" i="2"/>
  <c r="D114" i="2"/>
  <c r="E114" i="2" s="1"/>
  <c r="I114" i="2" l="1"/>
  <c r="L114" i="2"/>
  <c r="C114" i="2"/>
  <c r="J114" i="2" s="1"/>
  <c r="B115" i="2" l="1"/>
  <c r="H115" i="2" s="1"/>
  <c r="F115" i="2" l="1"/>
  <c r="G115" i="2"/>
  <c r="D115" i="2"/>
  <c r="E115" i="2" s="1"/>
  <c r="L115" i="2" l="1"/>
  <c r="C115" i="2"/>
  <c r="J115" i="2" s="1"/>
  <c r="I115" i="2"/>
  <c r="B116" i="2" l="1"/>
  <c r="H116" i="2" s="1"/>
  <c r="G116" i="2" l="1"/>
  <c r="D116" i="2"/>
  <c r="E116" i="2" s="1"/>
  <c r="C116" i="2" l="1"/>
  <c r="J116" i="2" s="1"/>
  <c r="F116" i="2" l="1"/>
  <c r="L116" i="2" s="1"/>
  <c r="B117" i="2"/>
  <c r="H117" i="2" s="1"/>
  <c r="I116" i="2" l="1"/>
  <c r="G117" i="2"/>
  <c r="F117" i="2"/>
  <c r="D117" i="2"/>
  <c r="E117" i="2" s="1"/>
  <c r="L117" i="2" l="1"/>
  <c r="C117" i="2"/>
  <c r="J117" i="2" s="1"/>
  <c r="I117" i="2"/>
  <c r="B118" i="2" l="1"/>
  <c r="H118" i="2" s="1"/>
  <c r="G118" i="2" l="1"/>
  <c r="F118" i="2"/>
  <c r="D118" i="2"/>
  <c r="C118" i="2" s="1"/>
  <c r="J118" i="2" s="1"/>
  <c r="I118" i="2" l="1"/>
  <c r="L118" i="2"/>
  <c r="E118" i="2"/>
  <c r="B119" i="2"/>
  <c r="H119" i="2" s="1"/>
  <c r="G119" i="2" l="1"/>
  <c r="F119" i="2"/>
  <c r="D119" i="2"/>
  <c r="E119" i="2" s="1"/>
  <c r="I119" i="2" l="1"/>
  <c r="L119" i="2"/>
  <c r="C119" i="2"/>
  <c r="J119" i="2" s="1"/>
  <c r="B120" i="2" l="1"/>
  <c r="H120" i="2" s="1"/>
  <c r="F120" i="2" l="1"/>
  <c r="G120" i="2"/>
  <c r="D120" i="2"/>
  <c r="E120" i="2" s="1"/>
  <c r="I120" i="2" l="1"/>
  <c r="L120" i="2"/>
  <c r="C120" i="2"/>
  <c r="J120" i="2" s="1"/>
  <c r="B121" i="2" l="1"/>
  <c r="H121" i="2" s="1"/>
  <c r="F121" i="2" l="1"/>
  <c r="G121" i="2"/>
  <c r="D121" i="2"/>
  <c r="E121" i="2" s="1"/>
  <c r="I121" i="2" l="1"/>
  <c r="L121" i="2"/>
  <c r="C121" i="2"/>
  <c r="J121" i="2" s="1"/>
  <c r="B122" i="2" l="1"/>
  <c r="H122" i="2" s="1"/>
  <c r="F122" i="2" l="1"/>
  <c r="G122" i="2"/>
  <c r="D122" i="2"/>
  <c r="E122" i="2" s="1"/>
  <c r="I122" i="2" l="1"/>
  <c r="L122" i="2"/>
  <c r="C122" i="2"/>
  <c r="J122" i="2" s="1"/>
  <c r="B123" i="2" l="1"/>
  <c r="H123" i="2" s="1"/>
  <c r="F123" i="2" l="1"/>
  <c r="G123" i="2"/>
  <c r="D123" i="2"/>
  <c r="C123" i="2" s="1"/>
  <c r="J123" i="2" s="1"/>
  <c r="L123" i="2" l="1"/>
  <c r="I123" i="2"/>
  <c r="B124" i="2"/>
  <c r="H124" i="2" s="1"/>
  <c r="E123" i="2"/>
  <c r="F124" i="2" l="1"/>
  <c r="G124" i="2"/>
  <c r="D124" i="2"/>
  <c r="E124" i="2" s="1"/>
  <c r="I124" i="2" l="1"/>
  <c r="L124" i="2"/>
  <c r="C124" i="2"/>
  <c r="J124" i="2" s="1"/>
  <c r="B125" i="2" s="1"/>
  <c r="H125" i="2" s="1"/>
  <c r="F125" i="2" l="1"/>
  <c r="G125" i="2"/>
  <c r="D125" i="2"/>
  <c r="E125" i="2" s="1"/>
  <c r="L125" i="2" l="1"/>
  <c r="I125" i="2"/>
  <c r="C125" i="2"/>
  <c r="J125" i="2" s="1"/>
  <c r="B126" i="2" l="1"/>
  <c r="H126" i="2" s="1"/>
  <c r="G126" i="2" l="1"/>
  <c r="F126" i="2"/>
  <c r="D126" i="2"/>
  <c r="E126" i="2" s="1"/>
  <c r="L126" i="2" l="1"/>
  <c r="C126" i="2"/>
  <c r="J126" i="2" s="1"/>
  <c r="B127" i="2" s="1"/>
  <c r="H127" i="2" s="1"/>
  <c r="I126" i="2"/>
  <c r="G127" i="2" l="1"/>
  <c r="F127" i="2"/>
  <c r="D127" i="2"/>
  <c r="E127" i="2" s="1"/>
  <c r="L127" i="2" l="1"/>
  <c r="C127" i="2"/>
  <c r="J127" i="2" s="1"/>
  <c r="I127" i="2"/>
  <c r="B128" i="2" l="1"/>
  <c r="H128" i="2" s="1"/>
  <c r="F128" i="2" l="1"/>
  <c r="G128" i="2"/>
  <c r="D128" i="2"/>
  <c r="E128" i="2" s="1"/>
  <c r="L128" i="2" l="1"/>
  <c r="I128" i="2"/>
  <c r="C128" i="2"/>
  <c r="J128" i="2" s="1"/>
  <c r="B129" i="2" l="1"/>
  <c r="H129" i="2" s="1"/>
  <c r="F129" i="2" l="1"/>
  <c r="G129" i="2"/>
  <c r="D129" i="2"/>
  <c r="C129" i="2" s="1"/>
  <c r="J129" i="2" s="1"/>
  <c r="I129" i="2" l="1"/>
  <c r="L129" i="2"/>
  <c r="B130" i="2"/>
  <c r="H130" i="2" s="1"/>
  <c r="E129" i="2"/>
  <c r="E5" i="2"/>
  <c r="G130" i="2" l="1"/>
  <c r="F130" i="2"/>
  <c r="D130" i="2"/>
  <c r="C130" i="2" s="1"/>
  <c r="J130" i="2" s="1"/>
  <c r="L130" i="2" l="1"/>
  <c r="I130" i="2"/>
  <c r="B131" i="2"/>
  <c r="H131" i="2" s="1"/>
  <c r="E130" i="2"/>
  <c r="G131" i="2" l="1"/>
  <c r="F131" i="2"/>
  <c r="D131" i="2"/>
  <c r="E131" i="2" s="1"/>
  <c r="I131" i="2" l="1"/>
  <c r="L131" i="2"/>
  <c r="C131" i="2"/>
  <c r="J131" i="2" s="1"/>
  <c r="B132" i="2" l="1"/>
  <c r="H132" i="2" s="1"/>
  <c r="F132" i="2" l="1"/>
  <c r="G132" i="2"/>
  <c r="D132" i="2"/>
  <c r="E132" i="2" s="1"/>
  <c r="L132" i="2" l="1"/>
  <c r="I132" i="2"/>
  <c r="C132" i="2"/>
  <c r="J132" i="2" s="1"/>
  <c r="B133" i="2" l="1"/>
  <c r="H133" i="2" s="1"/>
  <c r="F133" i="2" l="1"/>
  <c r="G133" i="2"/>
  <c r="D133" i="2"/>
  <c r="E133" i="2" s="1"/>
  <c r="L133" i="2" l="1"/>
  <c r="I133" i="2"/>
  <c r="C133" i="2"/>
  <c r="J133" i="2" s="1"/>
  <c r="B134" i="2" l="1"/>
  <c r="H134" i="2" s="1"/>
  <c r="G134" i="2" l="1"/>
  <c r="F134" i="2"/>
  <c r="D134" i="2"/>
  <c r="E134" i="2" s="1"/>
  <c r="L134" i="2" l="1"/>
  <c r="C134" i="2"/>
  <c r="J134" i="2" s="1"/>
  <c r="B135" i="2" s="1"/>
  <c r="H135" i="2" s="1"/>
  <c r="I134" i="2"/>
  <c r="G135" i="2" l="1"/>
  <c r="F135" i="2"/>
  <c r="D135" i="2"/>
  <c r="E135" i="2" s="1"/>
  <c r="L135" i="2" l="1"/>
  <c r="C135" i="2"/>
  <c r="J135" i="2" s="1"/>
  <c r="I135" i="2"/>
  <c r="B136" i="2" l="1"/>
  <c r="H136" i="2" s="1"/>
  <c r="E9" i="2" s="1"/>
  <c r="G6" i="4" s="1"/>
  <c r="G136" i="2" l="1"/>
  <c r="D136" i="2"/>
  <c r="E7" i="2" l="1"/>
  <c r="G9" i="4" s="1"/>
  <c r="C136" i="2"/>
  <c r="J136" i="2" s="1"/>
  <c r="E136" i="2"/>
  <c r="E6" i="2" s="1"/>
  <c r="G7" i="4" s="1"/>
  <c r="G10" i="4" l="1"/>
  <c r="F136" i="2"/>
  <c r="L136" i="2" s="1"/>
  <c r="L15" i="2" l="1"/>
  <c r="I136" i="2"/>
  <c r="E4" i="2" l="1"/>
  <c r="G12" i="4" s="1"/>
  <c r="L13" i="2"/>
</calcChain>
</file>

<file path=xl/sharedStrings.xml><?xml version="1.0" encoding="utf-8"?>
<sst xmlns="http://schemas.openxmlformats.org/spreadsheetml/2006/main" count="83" uniqueCount="62">
  <si>
    <t>Producto</t>
  </si>
  <si>
    <t>Líneas Negocio</t>
  </si>
  <si>
    <t>Fondo</t>
  </si>
  <si>
    <t>Seguro Vida</t>
  </si>
  <si>
    <t>Estudio Crédito</t>
  </si>
  <si>
    <t>GMF</t>
  </si>
  <si>
    <t>Plazo Max</t>
  </si>
  <si>
    <t>Observación</t>
  </si>
  <si>
    <t>Cuota</t>
  </si>
  <si>
    <t>Fija</t>
  </si>
  <si>
    <t>No</t>
  </si>
  <si>
    <t>Convenio</t>
  </si>
  <si>
    <t>Fecha Desembolso</t>
  </si>
  <si>
    <t>Fecha 1 cuota</t>
  </si>
  <si>
    <t>Plazo Meses</t>
  </si>
  <si>
    <t>Tipo Tasa</t>
  </si>
  <si>
    <t>VTU* % E.A.</t>
  </si>
  <si>
    <t>Valor Tasa EA</t>
  </si>
  <si>
    <t>VTU* ($)</t>
  </si>
  <si>
    <t>Tasa NMV</t>
  </si>
  <si>
    <t>* Los Valores resultan de una proyección y podrán variar de acuerdo a las condiciones del crédito</t>
  </si>
  <si>
    <t>Capital</t>
  </si>
  <si>
    <t>Interes_Cte</t>
  </si>
  <si>
    <t>Intereses</t>
  </si>
  <si>
    <t>Saldo Capital</t>
  </si>
  <si>
    <t>Flujos VTU*</t>
  </si>
  <si>
    <t>xxx</t>
  </si>
  <si>
    <t>Bancaseguro</t>
  </si>
  <si>
    <t>Vr. Crédito</t>
  </si>
  <si>
    <t>Fecha Simulación</t>
  </si>
  <si>
    <t>(%) Tasa E.A.</t>
  </si>
  <si>
    <t>Estudio de Crédito</t>
  </si>
  <si>
    <t>Cuota + Seguros</t>
  </si>
  <si>
    <t>Seguro de Vida</t>
  </si>
  <si>
    <t>VTU</t>
  </si>
  <si>
    <t xml:space="preserve">Datos  Simulación </t>
  </si>
  <si>
    <t>VTU % E.A.</t>
  </si>
  <si>
    <t>El VTU no corresponde a una tasa de interés. Es la suma que podría pagar un cliente por el crédito aprobado, se expresará en terminos porcentuales y su resultante en pesos.</t>
  </si>
  <si>
    <t>Valor a Financiar*</t>
  </si>
  <si>
    <t>Plazo en Meses*</t>
  </si>
  <si>
    <t>(%) Tasa M.V*</t>
  </si>
  <si>
    <t>* Campos a Diligenciar</t>
  </si>
  <si>
    <t>Total VTU en Pesos ($)</t>
  </si>
  <si>
    <t>Simulador VTU  - Créditos de Consumo</t>
  </si>
  <si>
    <t>Inverprimas</t>
  </si>
  <si>
    <t>Libre Inversión</t>
  </si>
  <si>
    <t>Si</t>
  </si>
  <si>
    <t>Estudio crédito: única vez en la 1 cuota</t>
  </si>
  <si>
    <t>Seguro: sobre el saldo insoluto del Crédito
Fondo: sobre el saldo K
Disponibilidad: Mensual</t>
  </si>
  <si>
    <t>Estudio crédito: Una sola vez en el desembolso</t>
  </si>
  <si>
    <t>Comisión Disponibilidad</t>
  </si>
  <si>
    <t>Educativo (LP)</t>
  </si>
  <si>
    <t>Producto*</t>
  </si>
  <si>
    <t>Simulador VTU</t>
  </si>
  <si>
    <t>Esta simulación es de carácter informativo y no constituye en ningún evento una oferta comercial</t>
  </si>
  <si>
    <t>El resultado de esta simulación corresponde a una proyección y los valores resultantes podrán variar al momento de contratar los productos de acuerdo a las condiciones, tasas y tarifas vigentes</t>
  </si>
  <si>
    <t>En el cálculo del VTU no se incluyen costos de servicios transaccionales</t>
  </si>
  <si>
    <t>Tasa E.A: Corresponde a la tasa efectiva anual</t>
  </si>
  <si>
    <t>Tasa M.V: Corresponde a la tasa mes vencido</t>
  </si>
  <si>
    <t>Plazo Min</t>
  </si>
  <si>
    <t>No va inverprimas para 2020</t>
  </si>
  <si>
    <t>Para conocer las condiciones de los cobros de seguro de vida y estudio de crédito, deberá consultar el tarifario vigente dsiponible en la web del Banco www.bancopichincha.com.co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</si>
</sst>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0%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(* #,##0.00_);_(* \(#,##0.00\);_(* &quot;-&quot;??_);_(@_)"/>
    <numFmt numFmtId="168" formatCode="_(* #,##0_);_(* \(#,##0\);_(* &quot;-&quot;??_);_(@_)"/>
    <numFmt numFmtId="169" formatCode="0.00%\ &quot;E.A&quot;"/>
    <numFmt numFmtId="170" formatCode="&quot;$&quot;\ #,##0.00_);[Red]\(&quot;$&quot;\ #,##0.00\)"/>
    <numFmt numFmtId="171" formatCode=";;;"/>
    <numFmt numFmtId="172" formatCode="0.00%&quot; NMV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B2D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theme="0"/>
      </right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1" applyProtection="1"/>
    <xf numFmtId="0" fontId="2" fillId="2" borderId="1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 vertical="center"/>
    </xf>
    <xf numFmtId="0" fontId="1" fillId="0" borderId="1" xfId="1" applyFont="1" applyBorder="1" applyProtection="1"/>
    <xf numFmtId="15" fontId="1" fillId="0" borderId="1" xfId="1" applyNumberFormat="1" applyFont="1" applyBorder="1" applyAlignment="1" applyProtection="1">
      <alignment horizontal="center"/>
    </xf>
    <xf numFmtId="0" fontId="1" fillId="0" borderId="1" xfId="1" applyFont="1" applyBorder="1" applyAlignment="1" applyProtection="1">
      <alignment wrapText="1"/>
    </xf>
    <xf numFmtId="0" fontId="1" fillId="0" borderId="1" xfId="1" applyFont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</xf>
    <xf numFmtId="169" fontId="1" fillId="0" borderId="1" xfId="1" applyNumberFormat="1" applyFont="1" applyFill="1" applyBorder="1" applyAlignment="1" applyProtection="1">
      <alignment horizontal="center"/>
    </xf>
    <xf numFmtId="10" fontId="1" fillId="0" borderId="1" xfId="1" applyNumberFormat="1" applyFont="1" applyBorder="1" applyAlignment="1" applyProtection="1">
      <alignment horizontal="center"/>
    </xf>
    <xf numFmtId="165" fontId="6" fillId="0" borderId="0" xfId="1" applyNumberFormat="1" applyProtection="1"/>
    <xf numFmtId="10" fontId="6" fillId="0" borderId="0" xfId="1" applyNumberFormat="1" applyProtection="1"/>
    <xf numFmtId="10" fontId="1" fillId="0" borderId="1" xfId="1" applyNumberFormat="1" applyFont="1" applyFill="1" applyBorder="1" applyAlignment="1" applyProtection="1">
      <alignment horizontal="center" vertical="center"/>
    </xf>
    <xf numFmtId="6" fontId="6" fillId="0" borderId="0" xfId="1" applyNumberFormat="1" applyProtection="1"/>
    <xf numFmtId="0" fontId="1" fillId="0" borderId="0" xfId="1" applyFont="1" applyProtection="1"/>
    <xf numFmtId="44" fontId="6" fillId="0" borderId="0" xfId="1" applyNumberFormat="1" applyProtection="1"/>
    <xf numFmtId="0" fontId="9" fillId="0" borderId="0" xfId="1" applyFont="1" applyFill="1" applyBorder="1" applyProtection="1"/>
    <xf numFmtId="170" fontId="6" fillId="0" borderId="0" xfId="1" applyNumberFormat="1" applyProtection="1"/>
    <xf numFmtId="171" fontId="6" fillId="0" borderId="0" xfId="1" applyNumberFormat="1" applyProtection="1"/>
    <xf numFmtId="0" fontId="10" fillId="2" borderId="4" xfId="0" applyFont="1" applyFill="1" applyBorder="1" applyAlignment="1" applyProtection="1">
      <alignment horizontal="center" vertical="center" wrapText="1"/>
    </xf>
    <xf numFmtId="0" fontId="6" fillId="0" borderId="0" xfId="1" applyAlignment="1" applyProtection="1">
      <alignment horizontal="center" vertical="center" wrapText="1"/>
    </xf>
    <xf numFmtId="4" fontId="6" fillId="0" borderId="0" xfId="1" applyNumberFormat="1" applyAlignment="1" applyProtection="1">
      <alignment horizontal="center" vertical="center" wrapText="1"/>
    </xf>
    <xf numFmtId="165" fontId="1" fillId="0" borderId="0" xfId="2" applyFont="1" applyProtection="1"/>
    <xf numFmtId="40" fontId="1" fillId="0" borderId="0" xfId="1" applyNumberFormat="1" applyFont="1" applyProtection="1"/>
    <xf numFmtId="166" fontId="1" fillId="0" borderId="0" xfId="1" applyNumberFormat="1" applyFont="1" applyProtection="1"/>
    <xf numFmtId="166" fontId="1" fillId="0" borderId="0" xfId="2" applyNumberFormat="1" applyFont="1" applyFill="1" applyProtection="1"/>
    <xf numFmtId="166" fontId="1" fillId="0" borderId="0" xfId="1" applyNumberFormat="1" applyFont="1" applyFill="1" applyProtection="1"/>
    <xf numFmtId="165" fontId="1" fillId="0" borderId="0" xfId="1" applyNumberFormat="1" applyFont="1" applyProtection="1"/>
    <xf numFmtId="171" fontId="5" fillId="4" borderId="0" xfId="1" applyNumberFormat="1" applyFont="1" applyFill="1" applyAlignment="1" applyProtection="1">
      <alignment horizontal="center" vertical="center"/>
    </xf>
    <xf numFmtId="171" fontId="1" fillId="4" borderId="0" xfId="1" applyNumberFormat="1" applyFont="1" applyFill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0" borderId="0" xfId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166" fontId="11" fillId="0" borderId="0" xfId="2" applyNumberFormat="1" applyFont="1" applyAlignment="1">
      <alignment horizontal="center" vertical="center"/>
    </xf>
    <xf numFmtId="168" fontId="11" fillId="0" borderId="0" xfId="4" applyNumberFormat="1" applyFont="1" applyAlignment="1">
      <alignment horizontal="center" vertical="center"/>
    </xf>
    <xf numFmtId="166" fontId="11" fillId="0" borderId="0" xfId="2" applyNumberFormat="1" applyFont="1" applyAlignment="1">
      <alignment horizontal="left" vertical="center" wrapText="1"/>
    </xf>
    <xf numFmtId="164" fontId="11" fillId="0" borderId="0" xfId="1" applyNumberFormat="1" applyFont="1" applyFill="1" applyAlignment="1">
      <alignment horizontal="center" vertical="center"/>
    </xf>
    <xf numFmtId="10" fontId="11" fillId="0" borderId="0" xfId="3" applyNumberFormat="1" applyFont="1" applyAlignment="1">
      <alignment horizontal="center" vertical="center"/>
    </xf>
    <xf numFmtId="0" fontId="11" fillId="0" borderId="0" xfId="1" applyFont="1"/>
    <xf numFmtId="0" fontId="6" fillId="0" borderId="0" xfId="1" applyFont="1"/>
    <xf numFmtId="6" fontId="0" fillId="0" borderId="0" xfId="0" applyNumberFormat="1"/>
    <xf numFmtId="0" fontId="8" fillId="0" borderId="1" xfId="1" applyFont="1" applyBorder="1" applyAlignment="1" applyProtection="1">
      <alignment horizontal="left" vertical="center" wrapText="1"/>
    </xf>
    <xf numFmtId="0" fontId="0" fillId="0" borderId="1" xfId="1" applyFont="1" applyFill="1" applyBorder="1" applyAlignment="1" applyProtection="1">
      <alignment horizontal="center" vertical="center"/>
    </xf>
    <xf numFmtId="6" fontId="1" fillId="0" borderId="0" xfId="1" applyNumberFormat="1" applyFont="1" applyFill="1" applyProtection="1"/>
    <xf numFmtId="6" fontId="1" fillId="0" borderId="0" xfId="2" applyNumberFormat="1" applyFont="1" applyFill="1" applyProtection="1"/>
    <xf numFmtId="0" fontId="10" fillId="2" borderId="0" xfId="0" applyFont="1" applyFill="1" applyBorder="1" applyAlignment="1" applyProtection="1">
      <alignment horizontal="center" vertical="center" wrapText="1"/>
    </xf>
    <xf numFmtId="0" fontId="12" fillId="2" borderId="3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6" fontId="0" fillId="0" borderId="0" xfId="0" applyNumberFormat="1" applyAlignment="1">
      <alignment horizontal="right" vertical="center"/>
    </xf>
    <xf numFmtId="0" fontId="13" fillId="2" borderId="5" xfId="1" applyFont="1" applyFill="1" applyBorder="1" applyAlignment="1" applyProtection="1">
      <alignment horizontal="center" vertical="center" wrapText="1"/>
    </xf>
    <xf numFmtId="6" fontId="14" fillId="5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2" borderId="1" xfId="1" applyFont="1" applyFill="1" applyBorder="1" applyAlignment="1" applyProtection="1">
      <alignment vertical="center"/>
    </xf>
    <xf numFmtId="6" fontId="1" fillId="0" borderId="1" xfId="2" applyNumberFormat="1" applyFont="1" applyBorder="1" applyAlignment="1" applyProtection="1">
      <alignment horizontal="center" vertical="center"/>
    </xf>
    <xf numFmtId="6" fontId="14" fillId="5" borderId="5" xfId="0" applyNumberFormat="1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15" fontId="14" fillId="5" borderId="5" xfId="0" applyNumberFormat="1" applyFont="1" applyFill="1" applyBorder="1" applyAlignment="1" applyProtection="1">
      <alignment horizontal="center" vertical="center"/>
      <protection locked="0"/>
    </xf>
    <xf numFmtId="10" fontId="14" fillId="5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3" borderId="0" xfId="1" applyFont="1" applyFill="1" applyBorder="1" applyAlignment="1" applyProtection="1">
      <alignment horizontal="center" vertical="center" wrapText="1"/>
    </xf>
    <xf numFmtId="172" fontId="4" fillId="3" borderId="0" xfId="3" applyNumberFormat="1" applyFont="1" applyFill="1" applyBorder="1" applyAlignment="1" applyProtection="1">
      <alignment horizontal="center" vertical="center" wrapText="1"/>
    </xf>
    <xf numFmtId="10" fontId="14" fillId="5" borderId="5" xfId="0" applyNumberFormat="1" applyFont="1" applyFill="1" applyBorder="1" applyAlignment="1" applyProtection="1">
      <alignment horizontal="center" vertical="center"/>
      <protection hidden="1"/>
    </xf>
    <xf numFmtId="6" fontId="14" fillId="5" borderId="5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0" fontId="14" fillId="5" borderId="5" xfId="0" applyNumberFormat="1" applyFont="1" applyFill="1" applyBorder="1" applyAlignment="1" applyProtection="1">
      <alignment horizontal="right" vertical="center"/>
      <protection hidden="1"/>
    </xf>
    <xf numFmtId="0" fontId="13" fillId="2" borderId="5" xfId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/>
      <protection hidden="1"/>
    </xf>
    <xf numFmtId="168" fontId="11" fillId="8" borderId="0" xfId="4" applyNumberFormat="1" applyFont="1" applyFill="1" applyAlignment="1">
      <alignment horizontal="center" vertical="center"/>
    </xf>
    <xf numFmtId="6" fontId="4" fillId="0" borderId="1" xfId="1" applyNumberFormat="1" applyFont="1" applyFill="1" applyBorder="1" applyAlignment="1" applyProtection="1">
      <alignment vertical="center"/>
    </xf>
    <xf numFmtId="165" fontId="0" fillId="0" borderId="0" xfId="2" applyFont="1" applyProtection="1"/>
    <xf numFmtId="0" fontId="18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Border="1" applyAlignment="1">
      <alignment vertical="center"/>
    </xf>
    <xf numFmtId="0" fontId="19" fillId="2" borderId="5" xfId="1" applyFont="1" applyFill="1" applyBorder="1" applyAlignment="1" applyProtection="1">
      <alignment horizontal="left" vertical="center" wrapText="1"/>
      <protection hidden="1"/>
    </xf>
    <xf numFmtId="6" fontId="11" fillId="0" borderId="0" xfId="1" applyNumberFormat="1" applyFont="1"/>
    <xf numFmtId="0" fontId="3" fillId="0" borderId="0" xfId="1" applyFont="1" applyBorder="1" applyAlignment="1" applyProtection="1">
      <alignment horizontal="center" wrapText="1"/>
    </xf>
    <xf numFmtId="0" fontId="16" fillId="7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  <protection hidden="1"/>
    </xf>
    <xf numFmtId="0" fontId="15" fillId="6" borderId="7" xfId="0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</cellXfs>
  <cellStyles count="5">
    <cellStyle name="Millares 2" xfId="4" xr:uid="{F3DB3678-EAF6-4CE4-A726-D52A42F79AD5}"/>
    <cellStyle name="Moneda 2" xfId="2" xr:uid="{CAB95C77-1C8C-43CD-AE5C-263EBA8ECE09}"/>
    <cellStyle name="Normal" xfId="0" builtinId="0"/>
    <cellStyle name="Normal 3" xfId="1" xr:uid="{4AB896EC-FFC4-4F6F-89DA-B9C776118C9E}"/>
    <cellStyle name="Porcentaje 2" xfId="3" xr:uid="{4E48E87D-94AC-4DA5-A1BB-BDF4E7E4F04A}"/>
  </cellStyles>
  <dxfs count="5">
    <dxf>
      <font>
        <color rgb="FFFF0000"/>
      </font>
      <fill>
        <patternFill>
          <bgColor theme="7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/>
        <color rgb="FFFF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66674</xdr:rowOff>
    </xdr:from>
    <xdr:to>
      <xdr:col>1</xdr:col>
      <xdr:colOff>847726</xdr:colOff>
      <xdr:row>2</xdr:row>
      <xdr:rowOff>18719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66674"/>
          <a:ext cx="876300" cy="256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57150</xdr:rowOff>
    </xdr:from>
    <xdr:to>
      <xdr:col>2</xdr:col>
      <xdr:colOff>1280833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9631E3-DDA8-422A-9680-6E05ED543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7150"/>
          <a:ext cx="1299882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Financiera/23.%20Calculadoras/Sin%20Claves/Proyeccion%20creditos%20Pichincha_consolidado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Param_Libranza"/>
      <sheetName val="Calculo_Cuota"/>
      <sheetName val="Normalizacion"/>
      <sheetName val="Hoja1"/>
      <sheetName val="Proyeccion creditos Pichincha_c"/>
    </sheetNames>
    <sheetDataSet>
      <sheetData sheetId="0"/>
      <sheetData sheetId="1"/>
      <sheetData sheetId="2"/>
      <sheetData sheetId="3">
        <row r="1">
          <cell r="E1" t="str">
            <v>Líneas Negocio</v>
          </cell>
          <cell r="F1" t="str">
            <v>Aval</v>
          </cell>
          <cell r="G1" t="str">
            <v>Fondo</v>
          </cell>
          <cell r="H1" t="str">
            <v>Seguro Vida</v>
          </cell>
          <cell r="I1" t="str">
            <v>Estudio Crédito</v>
          </cell>
          <cell r="J1" t="str">
            <v>Comisión Disponibilidad</v>
          </cell>
          <cell r="K1" t="str">
            <v>Inscripción Garantía</v>
          </cell>
          <cell r="L1" t="str">
            <v>GMF</v>
          </cell>
        </row>
        <row r="2">
          <cell r="A2" t="str">
            <v>Educativo</v>
          </cell>
          <cell r="E2" t="str">
            <v>Educativo Postgrado</v>
          </cell>
          <cell r="F2"/>
          <cell r="G2"/>
          <cell r="H2">
            <v>8.8999999999999995E-4</v>
          </cell>
          <cell r="I2"/>
          <cell r="J2">
            <v>2800</v>
          </cell>
          <cell r="K2"/>
          <cell r="L2" t="str">
            <v>Si</v>
          </cell>
          <cell r="AB2">
            <v>828116</v>
          </cell>
        </row>
        <row r="3">
          <cell r="A3" t="str">
            <v>Inverprimas</v>
          </cell>
          <cell r="E3" t="str">
            <v>Educativo Pagaré Aval</v>
          </cell>
          <cell r="F3">
            <v>0.02</v>
          </cell>
          <cell r="G3"/>
          <cell r="H3">
            <v>8.8999999999999995E-4</v>
          </cell>
          <cell r="I3">
            <v>15000</v>
          </cell>
          <cell r="J3"/>
          <cell r="K3"/>
          <cell r="L3" t="str">
            <v>Si</v>
          </cell>
        </row>
        <row r="4">
          <cell r="A4" t="str">
            <v>Vehículos</v>
          </cell>
          <cell r="E4" t="str">
            <v>Educativo Rotativo</v>
          </cell>
          <cell r="F4"/>
          <cell r="G4"/>
          <cell r="H4">
            <v>8.8999999999999995E-4</v>
          </cell>
          <cell r="I4"/>
          <cell r="J4">
            <v>11150</v>
          </cell>
          <cell r="K4"/>
          <cell r="L4" t="str">
            <v>Si</v>
          </cell>
        </row>
        <row r="5">
          <cell r="A5" t="str">
            <v>Prestaexpress</v>
          </cell>
          <cell r="E5" t="str">
            <v>Credioficial</v>
          </cell>
          <cell r="F5"/>
          <cell r="G5"/>
          <cell r="H5">
            <v>1.4300000000000001E-3</v>
          </cell>
          <cell r="I5">
            <v>85850</v>
          </cell>
          <cell r="J5"/>
          <cell r="K5"/>
          <cell r="L5" t="str">
            <v>No</v>
          </cell>
        </row>
        <row r="6">
          <cell r="A6" t="str">
            <v>Credifijo</v>
          </cell>
          <cell r="E6" t="str">
            <v>Crediflash</v>
          </cell>
          <cell r="F6"/>
          <cell r="G6"/>
          <cell r="H6">
            <v>1.4300000000000001E-3</v>
          </cell>
          <cell r="I6">
            <v>32400</v>
          </cell>
          <cell r="J6"/>
          <cell r="K6"/>
          <cell r="L6" t="str">
            <v>No</v>
          </cell>
        </row>
        <row r="7">
          <cell r="E7" t="str">
            <v>Vh. Particular</v>
          </cell>
          <cell r="F7"/>
          <cell r="G7"/>
          <cell r="H7">
            <v>8.8999999999999995E-4</v>
          </cell>
          <cell r="K7">
            <v>52030</v>
          </cell>
          <cell r="L7" t="str">
            <v>No</v>
          </cell>
        </row>
        <row r="8">
          <cell r="E8" t="str">
            <v>Vh. Comercial</v>
          </cell>
          <cell r="F8"/>
          <cell r="H8">
            <v>8.8999999999999995E-4</v>
          </cell>
          <cell r="K8">
            <v>52030</v>
          </cell>
          <cell r="L8" t="str">
            <v>No</v>
          </cell>
        </row>
        <row r="9">
          <cell r="E9" t="str">
            <v>Inverprimas</v>
          </cell>
          <cell r="I9">
            <v>1500</v>
          </cell>
          <cell r="L9" t="str">
            <v>Si</v>
          </cell>
        </row>
        <row r="10">
          <cell r="E10" t="str">
            <v>Prestaexpress</v>
          </cell>
          <cell r="G10"/>
          <cell r="H10">
            <v>8.8999999999999995E-4</v>
          </cell>
          <cell r="I10">
            <v>38750</v>
          </cell>
          <cell r="L10" t="str">
            <v>No</v>
          </cell>
        </row>
        <row r="11">
          <cell r="E11" t="str">
            <v>Credifijo</v>
          </cell>
          <cell r="G11"/>
          <cell r="H11">
            <v>8.8999999999999995E-4</v>
          </cell>
          <cell r="I11">
            <v>39100</v>
          </cell>
          <cell r="L11" t="str">
            <v>No</v>
          </cell>
        </row>
      </sheetData>
      <sheetData sheetId="4"/>
      <sheetData sheetId="5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/>
      <sheetData sheetId="8">
        <row r="1">
          <cell r="C1" t="str">
            <v>Líneas Negocio</v>
          </cell>
        </row>
      </sheetData>
      <sheetData sheetId="9">
        <row r="19">
          <cell r="C19">
            <v>33550</v>
          </cell>
        </row>
        <row r="20">
          <cell r="C20">
            <v>13387</v>
          </cell>
          <cell r="E20">
            <v>221210.00522905553</v>
          </cell>
        </row>
        <row r="21">
          <cell r="E21">
            <v>28600</v>
          </cell>
        </row>
        <row r="22">
          <cell r="E22">
            <v>26774</v>
          </cell>
        </row>
      </sheetData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567F-FFB8-4CFE-8C24-BCE9B4B6C917}">
  <sheetPr codeName="Hoja10"/>
  <dimension ref="A3:U138"/>
  <sheetViews>
    <sheetView showGridLines="0" workbookViewId="0">
      <selection activeCell="G12" sqref="G12"/>
    </sheetView>
  </sheetViews>
  <sheetFormatPr baseColWidth="10" defaultColWidth="0" defaultRowHeight="12" x14ac:dyDescent="0.2"/>
  <cols>
    <col min="1" max="1" width="3.5703125" style="1" bestFit="1" customWidth="1"/>
    <col min="2" max="2" width="16" style="1" customWidth="1"/>
    <col min="3" max="3" width="21.5703125" style="1" customWidth="1"/>
    <col min="4" max="4" width="16.42578125" style="1" customWidth="1"/>
    <col min="5" max="5" width="21.28515625" style="1" customWidth="1"/>
    <col min="6" max="6" width="22.28515625" style="1" customWidth="1"/>
    <col min="7" max="7" width="13.5703125" style="1" bestFit="1" customWidth="1"/>
    <col min="8" max="8" width="13.5703125" style="1" customWidth="1"/>
    <col min="9" max="9" width="16.28515625" style="1" customWidth="1"/>
    <col min="10" max="10" width="17.28515625" style="1" customWidth="1"/>
    <col min="11" max="11" width="13" style="1" bestFit="1" customWidth="1"/>
    <col min="12" max="12" width="17" style="1" customWidth="1"/>
    <col min="13" max="13" width="16.140625" style="1" customWidth="1"/>
    <col min="14" max="14" width="13.28515625" style="1" bestFit="1" customWidth="1"/>
    <col min="15" max="21" width="0" style="1" hidden="1" customWidth="1"/>
    <col min="22" max="16384" width="10.28515625" style="1" hidden="1"/>
  </cols>
  <sheetData>
    <row r="3" spans="2:14" ht="15.75" x14ac:dyDescent="0.2">
      <c r="B3" s="56" t="s">
        <v>53</v>
      </c>
      <c r="C3" s="56"/>
    </row>
    <row r="4" spans="2:14" ht="15" x14ac:dyDescent="0.25">
      <c r="B4" s="2" t="s">
        <v>0</v>
      </c>
      <c r="C4" s="72" t="str">
        <f>+Simulador!$D$5</f>
        <v>Educativo (LP)</v>
      </c>
      <c r="D4" s="8" t="s">
        <v>16</v>
      </c>
      <c r="E4" s="9">
        <f>((1+L15)^12)-1</f>
        <v>0.16824343217321513</v>
      </c>
    </row>
    <row r="5" spans="2:14" ht="15" x14ac:dyDescent="0.25">
      <c r="B5" s="2" t="s">
        <v>11</v>
      </c>
      <c r="C5" s="3"/>
      <c r="D5" s="8" t="s">
        <v>18</v>
      </c>
      <c r="E5" s="57">
        <f>SUM(L16:L129)</f>
        <v>2239950.84840122</v>
      </c>
    </row>
    <row r="6" spans="2:14" ht="36.75" customHeight="1" x14ac:dyDescent="0.2">
      <c r="B6" s="44" t="s">
        <v>28</v>
      </c>
      <c r="C6" s="57">
        <f>+Simulador!$D$6</f>
        <v>5000000</v>
      </c>
      <c r="D6" s="8" t="s">
        <v>23</v>
      </c>
      <c r="E6" s="57">
        <f>SUM($E$17:$E$136)</f>
        <v>1474950.8484012194</v>
      </c>
      <c r="I6" s="16"/>
    </row>
    <row r="7" spans="2:14" ht="15" x14ac:dyDescent="0.25">
      <c r="B7" s="4" t="s">
        <v>12</v>
      </c>
      <c r="C7" s="5">
        <f ca="1">+Simulador!$D$8</f>
        <v>44498</v>
      </c>
      <c r="D7" s="8" t="s">
        <v>3</v>
      </c>
      <c r="E7" s="57">
        <f>SUM($G$17:$G$136)</f>
        <v>765000.00000000012</v>
      </c>
    </row>
    <row r="8" spans="2:14" ht="15" x14ac:dyDescent="0.25">
      <c r="B8" s="4" t="s">
        <v>13</v>
      </c>
      <c r="C8" s="5">
        <f ca="1">EDATE(C7,1)</f>
        <v>44529</v>
      </c>
      <c r="D8" s="49" t="s">
        <v>31</v>
      </c>
      <c r="E8" s="57">
        <f>SUM($K$16:$K$136)</f>
        <v>0</v>
      </c>
    </row>
    <row r="9" spans="2:14" ht="24" x14ac:dyDescent="0.25">
      <c r="B9" s="6" t="s">
        <v>14</v>
      </c>
      <c r="C9" s="7">
        <f>+Simulador!$D$7</f>
        <v>60</v>
      </c>
      <c r="D9" s="49" t="s">
        <v>50</v>
      </c>
      <c r="E9" s="57">
        <f>SUM(H17:H136)</f>
        <v>0</v>
      </c>
    </row>
    <row r="10" spans="2:14" ht="15" x14ac:dyDescent="0.25">
      <c r="B10" s="4" t="s">
        <v>15</v>
      </c>
      <c r="C10" s="45" t="s">
        <v>9</v>
      </c>
      <c r="D10" s="50" t="s">
        <v>21</v>
      </c>
      <c r="E10" s="57">
        <f>+$C$6</f>
        <v>5000000</v>
      </c>
    </row>
    <row r="11" spans="2:14" ht="15" x14ac:dyDescent="0.25">
      <c r="B11" s="4" t="s">
        <v>17</v>
      </c>
      <c r="C11" s="10">
        <f>((1+$C$12)^12)-1</f>
        <v>0.11218610360941228</v>
      </c>
      <c r="G11" s="11"/>
      <c r="H11" s="11"/>
      <c r="M11" s="12"/>
    </row>
    <row r="12" spans="2:14" ht="30" customHeight="1" x14ac:dyDescent="0.25">
      <c r="B12" s="4" t="s">
        <v>19</v>
      </c>
      <c r="C12" s="13">
        <f>+Simulador!D$9</f>
        <v>8.8999999999999999E-3</v>
      </c>
      <c r="D12" s="78"/>
      <c r="E12" s="78"/>
      <c r="F12" s="78"/>
      <c r="G12" s="14"/>
      <c r="H12" s="14"/>
    </row>
    <row r="13" spans="2:14" x14ac:dyDescent="0.2">
      <c r="B13" s="17" t="s">
        <v>20</v>
      </c>
      <c r="D13" s="18"/>
      <c r="E13" s="18"/>
      <c r="G13" s="16"/>
      <c r="H13" s="16"/>
      <c r="L13" s="19">
        <f>NOMINAL(L15,12)/12</f>
        <v>1.0804532740360528E-3</v>
      </c>
    </row>
    <row r="14" spans="2:14" s="21" customFormat="1" ht="25.5" x14ac:dyDescent="0.25">
      <c r="B14" s="20" t="s">
        <v>8</v>
      </c>
      <c r="C14" s="20" t="s">
        <v>21</v>
      </c>
      <c r="D14" s="20" t="s">
        <v>22</v>
      </c>
      <c r="E14" s="20" t="s">
        <v>23</v>
      </c>
      <c r="F14" s="20" t="s">
        <v>8</v>
      </c>
      <c r="G14" s="20" t="s">
        <v>3</v>
      </c>
      <c r="H14" s="20" t="s">
        <v>50</v>
      </c>
      <c r="I14" s="20" t="s">
        <v>32</v>
      </c>
      <c r="J14" s="20" t="s">
        <v>24</v>
      </c>
      <c r="K14" s="20" t="s">
        <v>4</v>
      </c>
      <c r="L14" s="63" t="s">
        <v>25</v>
      </c>
    </row>
    <row r="15" spans="2:14" s="21" customFormat="1" ht="15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48"/>
      <c r="L15" s="64">
        <f>IRR(L16:L136)</f>
        <v>1.3042764482208646E-2</v>
      </c>
      <c r="N15" s="22"/>
    </row>
    <row r="16" spans="2:14" s="15" customFormat="1" ht="15" x14ac:dyDescent="0.25">
      <c r="B16" s="15">
        <v>0</v>
      </c>
      <c r="G16" s="23"/>
      <c r="H16" s="23"/>
      <c r="I16" s="23"/>
      <c r="J16" s="23">
        <f>$C$6</f>
        <v>5000000</v>
      </c>
      <c r="K16" s="23">
        <f>IF($C$4="Libre Inversión",VLOOKUP($C$4,Param!$A$1:$I$4,MATCH(Flujo!$K$14,Param!$A$1:$I$1,0),0),0)</f>
        <v>0</v>
      </c>
      <c r="L16" s="24">
        <f>(J16-K16)*-1</f>
        <v>-5000000</v>
      </c>
      <c r="M16" s="25"/>
    </row>
    <row r="17" spans="2:13" s="15" customFormat="1" ht="15" x14ac:dyDescent="0.25">
      <c r="B17" s="15">
        <f t="shared" ref="B17:B48" si="0">IF(B16&gt;=$C$9,"",IF(J16=0,"",B16+1))</f>
        <v>1</v>
      </c>
      <c r="C17" s="25">
        <f t="shared" ref="C17:C48" si="1">IF(B17="","",IF(B17=$C$9,J16,cuota-D17))</f>
        <v>63416</v>
      </c>
      <c r="D17" s="26">
        <f t="shared" ref="D17:D48" si="2">(IF(J16&lt;0,0,IF(B17&lt;=$C$9,$J16*$C$12,"")))</f>
        <v>44500</v>
      </c>
      <c r="E17" s="26">
        <f t="shared" ref="E17:E48" si="3">IF(B17="","",SUM(D17:D17))</f>
        <v>44500</v>
      </c>
      <c r="F17" s="46">
        <f t="shared" ref="F17:F48" si="4">IF(B17=$C$9,D17+C17,IF(B17="","",cuota))</f>
        <v>107916</v>
      </c>
      <c r="G17" s="47">
        <f>IF(B17="","",VLOOKUP($C$4,Param!$A:$I,MATCH(Flujo!$G$14,Param!$A$1:$J$1,0),0)*$C$6)</f>
        <v>12750.000000000002</v>
      </c>
      <c r="H17" s="47">
        <f>IF(B17="","",IF($C$4="Educativo (LP)",VLOOKUP($C$4,Param!$A$1:$I$4,MATCH(Flujo!$H$14,Param!$A$1:$I$1,0),0),0))</f>
        <v>0</v>
      </c>
      <c r="I17" s="23">
        <f>IF($B17&lt;=$C$9,ROUND(F17+G17,0),"")</f>
        <v>120666</v>
      </c>
      <c r="J17" s="23">
        <f t="shared" ref="J17:J48" si="5">IF(B17&lt;=$C$9,(J16-C17),"")</f>
        <v>4936584</v>
      </c>
      <c r="K17" s="73">
        <f>IF($C$4="Inverprimas",VLOOKUP($C$4,Param!$A$1:$I$4,MATCH(Flujo!$K$14,Param!$A$1:$I$1,0),0),0)</f>
        <v>0</v>
      </c>
      <c r="L17" s="28">
        <f>SUM(F17:H17)+K17</f>
        <v>120666</v>
      </c>
      <c r="M17" s="25"/>
    </row>
    <row r="18" spans="2:13" s="15" customFormat="1" ht="15" x14ac:dyDescent="0.25">
      <c r="B18" s="15">
        <f t="shared" si="0"/>
        <v>2</v>
      </c>
      <c r="C18" s="25">
        <f t="shared" si="1"/>
        <v>63980.402399999999</v>
      </c>
      <c r="D18" s="26">
        <f t="shared" si="2"/>
        <v>43935.597600000001</v>
      </c>
      <c r="E18" s="26">
        <f t="shared" si="3"/>
        <v>43935.597600000001</v>
      </c>
      <c r="F18" s="46">
        <f t="shared" si="4"/>
        <v>107916</v>
      </c>
      <c r="G18" s="47">
        <f>IF(B18="","",VLOOKUP($C$4,Param!$A:$I,MATCH(Flujo!$G$14,Param!$A$1:$J$1,0),0)*$C$6)</f>
        <v>12750.000000000002</v>
      </c>
      <c r="H18" s="47">
        <f>IF(B18="","",IF($C$4="Educativo (LP)",VLOOKUP($C$4,Param!$A$1:$I$4,MATCH(Flujo!$H$14,Param!$A$1:$I$1,0),0),0))</f>
        <v>0</v>
      </c>
      <c r="I18" s="23">
        <f t="shared" ref="I18:I81" si="6">IF($B18&lt;=$C$9,ROUND(F18+G18,0),"")</f>
        <v>120666</v>
      </c>
      <c r="J18" s="23">
        <f t="shared" si="5"/>
        <v>4872603.5976</v>
      </c>
      <c r="K18" s="23"/>
      <c r="L18" s="28">
        <f t="shared" ref="L18:L81" si="7">SUM(F18:H18)+K18</f>
        <v>120666</v>
      </c>
      <c r="M18" s="25"/>
    </row>
    <row r="19" spans="2:13" s="15" customFormat="1" ht="15" x14ac:dyDescent="0.25">
      <c r="B19" s="15">
        <f t="shared" si="0"/>
        <v>3</v>
      </c>
      <c r="C19" s="25">
        <f t="shared" si="1"/>
        <v>64549.827981360002</v>
      </c>
      <c r="D19" s="26">
        <f t="shared" si="2"/>
        <v>43366.172018639998</v>
      </c>
      <c r="E19" s="26">
        <f t="shared" si="3"/>
        <v>43366.172018639998</v>
      </c>
      <c r="F19" s="46">
        <f t="shared" si="4"/>
        <v>107916</v>
      </c>
      <c r="G19" s="47">
        <f>IF(B19="","",VLOOKUP($C$4,Param!$A:$I,MATCH(Flujo!$G$14,Param!$A$1:$J$1,0),0)*$C$6)</f>
        <v>12750.000000000002</v>
      </c>
      <c r="H19" s="47">
        <f>IF(B19="","",IF($C$4="Educativo (LP)",VLOOKUP($C$4,Param!$A$1:$I$4,MATCH(Flujo!$H$14,Param!$A$1:$I$1,0),0),0))</f>
        <v>0</v>
      </c>
      <c r="I19" s="23">
        <f t="shared" si="6"/>
        <v>120666</v>
      </c>
      <c r="J19" s="23">
        <f t="shared" si="5"/>
        <v>4808053.7696186397</v>
      </c>
      <c r="K19" s="23"/>
      <c r="L19" s="28">
        <f t="shared" si="7"/>
        <v>120666</v>
      </c>
      <c r="M19" s="25"/>
    </row>
    <row r="20" spans="2:13" s="15" customFormat="1" ht="15" x14ac:dyDescent="0.25">
      <c r="B20" s="15">
        <f t="shared" si="0"/>
        <v>4</v>
      </c>
      <c r="C20" s="25">
        <f t="shared" si="1"/>
        <v>65124.321450394105</v>
      </c>
      <c r="D20" s="26">
        <f t="shared" si="2"/>
        <v>42791.678549605895</v>
      </c>
      <c r="E20" s="26">
        <f t="shared" si="3"/>
        <v>42791.678549605895</v>
      </c>
      <c r="F20" s="46">
        <f t="shared" si="4"/>
        <v>107916</v>
      </c>
      <c r="G20" s="47">
        <f>IF(B20="","",VLOOKUP($C$4,Param!$A:$I,MATCH(Flujo!$G$14,Param!$A$1:$J$1,0),0)*$C$6)</f>
        <v>12750.000000000002</v>
      </c>
      <c r="H20" s="47">
        <f>IF(B20="","",IF($C$4="Educativo (LP)",VLOOKUP($C$4,Param!$A$1:$I$4,MATCH(Flujo!$H$14,Param!$A$1:$I$1,0),0),0))</f>
        <v>0</v>
      </c>
      <c r="I20" s="23">
        <f t="shared" si="6"/>
        <v>120666</v>
      </c>
      <c r="J20" s="23">
        <f t="shared" si="5"/>
        <v>4742929.4481682461</v>
      </c>
      <c r="K20" s="23"/>
      <c r="L20" s="28">
        <f t="shared" si="7"/>
        <v>120666</v>
      </c>
      <c r="M20" s="25"/>
    </row>
    <row r="21" spans="2:13" s="15" customFormat="1" ht="15" x14ac:dyDescent="0.25">
      <c r="B21" s="15">
        <f t="shared" si="0"/>
        <v>5</v>
      </c>
      <c r="C21" s="25">
        <f t="shared" si="1"/>
        <v>65703.927911302613</v>
      </c>
      <c r="D21" s="26">
        <f t="shared" si="2"/>
        <v>42212.072088697387</v>
      </c>
      <c r="E21" s="26">
        <f t="shared" si="3"/>
        <v>42212.072088697387</v>
      </c>
      <c r="F21" s="46">
        <f t="shared" si="4"/>
        <v>107916</v>
      </c>
      <c r="G21" s="47">
        <f>IF(B21="","",VLOOKUP($C$4,Param!$A:$I,MATCH(Flujo!$G$14,Param!$A$1:$J$1,0),0)*$C$6)</f>
        <v>12750.000000000002</v>
      </c>
      <c r="H21" s="47">
        <f>IF(B21="","",IF($C$4="Educativo (LP)",VLOOKUP($C$4,Param!$A$1:$I$4,MATCH(Flujo!$H$14,Param!$A$1:$I$1,0),0),0))</f>
        <v>0</v>
      </c>
      <c r="I21" s="23">
        <f t="shared" si="6"/>
        <v>120666</v>
      </c>
      <c r="J21" s="23">
        <f t="shared" si="5"/>
        <v>4677225.5202569431</v>
      </c>
      <c r="K21" s="23"/>
      <c r="L21" s="28">
        <f t="shared" si="7"/>
        <v>120666</v>
      </c>
    </row>
    <row r="22" spans="2:13" s="15" customFormat="1" ht="15" x14ac:dyDescent="0.25">
      <c r="B22" s="15">
        <f t="shared" si="0"/>
        <v>6</v>
      </c>
      <c r="C22" s="25">
        <f t="shared" si="1"/>
        <v>66288.69286971321</v>
      </c>
      <c r="D22" s="26">
        <f t="shared" si="2"/>
        <v>41627.30713028679</v>
      </c>
      <c r="E22" s="26">
        <f t="shared" si="3"/>
        <v>41627.30713028679</v>
      </c>
      <c r="F22" s="46">
        <f t="shared" si="4"/>
        <v>107916</v>
      </c>
      <c r="G22" s="47">
        <f>IF(B22="","",VLOOKUP($C$4,Param!$A:$I,MATCH(Flujo!$G$14,Param!$A$1:$J$1,0),0)*$C$6)</f>
        <v>12750.000000000002</v>
      </c>
      <c r="H22" s="47">
        <f>IF(B22="","",IF($C$4="Educativo (LP)",VLOOKUP($C$4,Param!$A$1:$I$4,MATCH(Flujo!$H$14,Param!$A$1:$I$1,0),0),0))</f>
        <v>0</v>
      </c>
      <c r="I22" s="23">
        <f t="shared" si="6"/>
        <v>120666</v>
      </c>
      <c r="J22" s="23">
        <f t="shared" si="5"/>
        <v>4610936.8273872295</v>
      </c>
      <c r="K22" s="23"/>
      <c r="L22" s="28">
        <f t="shared" si="7"/>
        <v>120666</v>
      </c>
    </row>
    <row r="23" spans="2:13" s="15" customFormat="1" ht="15" x14ac:dyDescent="0.25">
      <c r="B23" s="15">
        <f t="shared" si="0"/>
        <v>7</v>
      </c>
      <c r="C23" s="25">
        <f t="shared" si="1"/>
        <v>66878.662236253658</v>
      </c>
      <c r="D23" s="26">
        <f t="shared" si="2"/>
        <v>41037.337763746342</v>
      </c>
      <c r="E23" s="26">
        <f t="shared" si="3"/>
        <v>41037.337763746342</v>
      </c>
      <c r="F23" s="46">
        <f t="shared" si="4"/>
        <v>107916</v>
      </c>
      <c r="G23" s="47">
        <f>IF(B23="","",VLOOKUP($C$4,Param!$A:$I,MATCH(Flujo!$G$14,Param!$A$1:$J$1,0),0)*$C$6)</f>
        <v>12750.000000000002</v>
      </c>
      <c r="H23" s="47">
        <f>IF(B23="","",IF($C$4="Educativo (LP)",VLOOKUP($C$4,Param!$A$1:$I$4,MATCH(Flujo!$H$14,Param!$A$1:$I$1,0),0),0))</f>
        <v>0</v>
      </c>
      <c r="I23" s="23">
        <f t="shared" si="6"/>
        <v>120666</v>
      </c>
      <c r="J23" s="23">
        <f t="shared" si="5"/>
        <v>4544058.1651509758</v>
      </c>
      <c r="K23" s="23"/>
      <c r="L23" s="28">
        <f t="shared" si="7"/>
        <v>120666</v>
      </c>
    </row>
    <row r="24" spans="2:13" s="15" customFormat="1" ht="15" x14ac:dyDescent="0.25">
      <c r="B24" s="15">
        <f t="shared" si="0"/>
        <v>8</v>
      </c>
      <c r="C24" s="25">
        <f t="shared" si="1"/>
        <v>67473.88233015631</v>
      </c>
      <c r="D24" s="26">
        <f t="shared" si="2"/>
        <v>40442.117669843683</v>
      </c>
      <c r="E24" s="26">
        <f t="shared" si="3"/>
        <v>40442.117669843683</v>
      </c>
      <c r="F24" s="46">
        <f t="shared" si="4"/>
        <v>107916</v>
      </c>
      <c r="G24" s="47">
        <f>IF(B24="","",VLOOKUP($C$4,Param!$A:$I,MATCH(Flujo!$G$14,Param!$A$1:$J$1,0),0)*$C$6)</f>
        <v>12750.000000000002</v>
      </c>
      <c r="H24" s="47">
        <f>IF(B24="","",IF($C$4="Educativo (LP)",VLOOKUP($C$4,Param!$A$1:$I$4,MATCH(Flujo!$H$14,Param!$A$1:$I$1,0),0),0))</f>
        <v>0</v>
      </c>
      <c r="I24" s="23">
        <f t="shared" si="6"/>
        <v>120666</v>
      </c>
      <c r="J24" s="23">
        <f t="shared" si="5"/>
        <v>4476584.2828208199</v>
      </c>
      <c r="K24" s="23"/>
      <c r="L24" s="28">
        <f t="shared" si="7"/>
        <v>120666</v>
      </c>
    </row>
    <row r="25" spans="2:13" s="15" customFormat="1" ht="15" x14ac:dyDescent="0.25">
      <c r="B25" s="15">
        <f t="shared" si="0"/>
        <v>9</v>
      </c>
      <c r="C25" s="25">
        <f t="shared" si="1"/>
        <v>68074.399882894708</v>
      </c>
      <c r="D25" s="26">
        <f t="shared" si="2"/>
        <v>39841.600117105299</v>
      </c>
      <c r="E25" s="26">
        <f t="shared" si="3"/>
        <v>39841.600117105299</v>
      </c>
      <c r="F25" s="46">
        <f t="shared" si="4"/>
        <v>107916</v>
      </c>
      <c r="G25" s="47">
        <f>IF(B25="","",VLOOKUP($C$4,Param!$A:$I,MATCH(Flujo!$G$14,Param!$A$1:$J$1,0),0)*$C$6)</f>
        <v>12750.000000000002</v>
      </c>
      <c r="H25" s="47">
        <f>IF(B25="","",IF($C$4="Educativo (LP)",VLOOKUP($C$4,Param!$A$1:$I$4,MATCH(Flujo!$H$14,Param!$A$1:$I$1,0),0),0))</f>
        <v>0</v>
      </c>
      <c r="I25" s="23">
        <f t="shared" si="6"/>
        <v>120666</v>
      </c>
      <c r="J25" s="23">
        <f t="shared" si="5"/>
        <v>4408509.8829379249</v>
      </c>
      <c r="K25" s="23"/>
      <c r="L25" s="28">
        <f t="shared" si="7"/>
        <v>120666</v>
      </c>
    </row>
    <row r="26" spans="2:13" s="15" customFormat="1" ht="15" x14ac:dyDescent="0.25">
      <c r="B26" s="15">
        <f t="shared" si="0"/>
        <v>10</v>
      </c>
      <c r="C26" s="25">
        <f t="shared" si="1"/>
        <v>68680.26204185246</v>
      </c>
      <c r="D26" s="26">
        <f t="shared" si="2"/>
        <v>39235.737958147532</v>
      </c>
      <c r="E26" s="26">
        <f t="shared" si="3"/>
        <v>39235.737958147532</v>
      </c>
      <c r="F26" s="46">
        <f t="shared" si="4"/>
        <v>107916</v>
      </c>
      <c r="G26" s="47">
        <f>IF(B26="","",VLOOKUP($C$4,Param!$A:$I,MATCH(Flujo!$G$14,Param!$A$1:$J$1,0),0)*$C$6)</f>
        <v>12750.000000000002</v>
      </c>
      <c r="H26" s="47">
        <f>IF(B26="","",IF($C$4="Educativo (LP)",VLOOKUP($C$4,Param!$A$1:$I$4,MATCH(Flujo!$H$14,Param!$A$1:$I$1,0),0),0))</f>
        <v>0</v>
      </c>
      <c r="I26" s="23">
        <f t="shared" si="6"/>
        <v>120666</v>
      </c>
      <c r="J26" s="23">
        <f t="shared" si="5"/>
        <v>4339829.6208960721</v>
      </c>
      <c r="K26" s="23"/>
      <c r="L26" s="28">
        <f t="shared" si="7"/>
        <v>120666</v>
      </c>
    </row>
    <row r="27" spans="2:13" s="15" customFormat="1" ht="15" x14ac:dyDescent="0.25">
      <c r="B27" s="15">
        <f t="shared" si="0"/>
        <v>11</v>
      </c>
      <c r="C27" s="25">
        <f t="shared" si="1"/>
        <v>69291.516374024955</v>
      </c>
      <c r="D27" s="26">
        <f t="shared" si="2"/>
        <v>38624.483625975045</v>
      </c>
      <c r="E27" s="26">
        <f t="shared" si="3"/>
        <v>38624.483625975045</v>
      </c>
      <c r="F27" s="46">
        <f t="shared" si="4"/>
        <v>107916</v>
      </c>
      <c r="G27" s="47">
        <f>IF(B27="","",VLOOKUP($C$4,Param!$A:$I,MATCH(Flujo!$G$14,Param!$A$1:$J$1,0),0)*$C$6)</f>
        <v>12750.000000000002</v>
      </c>
      <c r="H27" s="47">
        <f>IF(B27="","",IF($C$4="Educativo (LP)",VLOOKUP($C$4,Param!$A$1:$I$4,MATCH(Flujo!$H$14,Param!$A$1:$I$1,0),0),0))</f>
        <v>0</v>
      </c>
      <c r="I27" s="23">
        <f t="shared" si="6"/>
        <v>120666</v>
      </c>
      <c r="J27" s="23">
        <f t="shared" si="5"/>
        <v>4270538.1045220476</v>
      </c>
      <c r="K27" s="23"/>
      <c r="L27" s="28">
        <f t="shared" si="7"/>
        <v>120666</v>
      </c>
    </row>
    <row r="28" spans="2:13" s="15" customFormat="1" ht="15" x14ac:dyDescent="0.25">
      <c r="B28" s="15">
        <f t="shared" si="0"/>
        <v>12</v>
      </c>
      <c r="C28" s="25">
        <f t="shared" si="1"/>
        <v>69908.210869753777</v>
      </c>
      <c r="D28" s="26">
        <f t="shared" si="2"/>
        <v>38007.789130246223</v>
      </c>
      <c r="E28" s="26">
        <f t="shared" si="3"/>
        <v>38007.789130246223</v>
      </c>
      <c r="F28" s="46">
        <f t="shared" si="4"/>
        <v>107916</v>
      </c>
      <c r="G28" s="47">
        <f>IF(B28="","",VLOOKUP($C$4,Param!$A:$I,MATCH(Flujo!$G$14,Param!$A$1:$J$1,0),0)*$C$6)</f>
        <v>12750.000000000002</v>
      </c>
      <c r="H28" s="47">
        <f>IF(B28="","",IF($C$4="Educativo (LP)",VLOOKUP($C$4,Param!$A$1:$I$4,MATCH(Flujo!$H$14,Param!$A$1:$I$1,0),0),0))</f>
        <v>0</v>
      </c>
      <c r="I28" s="23">
        <f t="shared" si="6"/>
        <v>120666</v>
      </c>
      <c r="J28" s="23">
        <f t="shared" si="5"/>
        <v>4200629.8936522938</v>
      </c>
      <c r="K28" s="23"/>
      <c r="L28" s="28">
        <f t="shared" si="7"/>
        <v>120666</v>
      </c>
    </row>
    <row r="29" spans="2:13" s="15" customFormat="1" ht="15" x14ac:dyDescent="0.25">
      <c r="B29" s="15">
        <f t="shared" si="0"/>
        <v>13</v>
      </c>
      <c r="C29" s="25">
        <f t="shared" si="1"/>
        <v>70530.393946494587</v>
      </c>
      <c r="D29" s="26">
        <f t="shared" si="2"/>
        <v>37385.606053505413</v>
      </c>
      <c r="E29" s="26">
        <f t="shared" si="3"/>
        <v>37385.606053505413</v>
      </c>
      <c r="F29" s="46">
        <f t="shared" si="4"/>
        <v>107916</v>
      </c>
      <c r="G29" s="47">
        <f>IF(B29="","",VLOOKUP($C$4,Param!$A:$I,MATCH(Flujo!$G$14,Param!$A$1:$J$1,0),0)*$C$6)</f>
        <v>12750.000000000002</v>
      </c>
      <c r="H29" s="47">
        <f>IF(B29="","",IF($C$4="Educativo (LP)",VLOOKUP($C$4,Param!$A$1:$I$4,MATCH(Flujo!$H$14,Param!$A$1:$I$1,0),0),0))</f>
        <v>0</v>
      </c>
      <c r="I29" s="23">
        <f t="shared" si="6"/>
        <v>120666</v>
      </c>
      <c r="J29" s="23">
        <f t="shared" si="5"/>
        <v>4130099.4997057994</v>
      </c>
      <c r="K29" s="23"/>
      <c r="L29" s="28">
        <f t="shared" si="7"/>
        <v>120666</v>
      </c>
    </row>
    <row r="30" spans="2:13" s="15" customFormat="1" ht="15" x14ac:dyDescent="0.25">
      <c r="B30" s="15">
        <f t="shared" si="0"/>
        <v>14</v>
      </c>
      <c r="C30" s="25">
        <f t="shared" si="1"/>
        <v>71158.114452618378</v>
      </c>
      <c r="D30" s="26">
        <f t="shared" si="2"/>
        <v>36757.885547381615</v>
      </c>
      <c r="E30" s="26">
        <f t="shared" si="3"/>
        <v>36757.885547381615</v>
      </c>
      <c r="F30" s="46">
        <f t="shared" si="4"/>
        <v>107916</v>
      </c>
      <c r="G30" s="47">
        <f>IF(B30="","",VLOOKUP($C$4,Param!$A:$I,MATCH(Flujo!$G$14,Param!$A$1:$J$1,0),0)*$C$6)</f>
        <v>12750.000000000002</v>
      </c>
      <c r="H30" s="47">
        <f>IF(B30="","",IF($C$4="Educativo (LP)",VLOOKUP($C$4,Param!$A$1:$I$4,MATCH(Flujo!$H$14,Param!$A$1:$I$1,0),0),0))</f>
        <v>0</v>
      </c>
      <c r="I30" s="23">
        <f t="shared" si="6"/>
        <v>120666</v>
      </c>
      <c r="J30" s="23">
        <f t="shared" si="5"/>
        <v>4058941.3852531812</v>
      </c>
      <c r="K30" s="23"/>
      <c r="L30" s="28">
        <f t="shared" si="7"/>
        <v>120666</v>
      </c>
    </row>
    <row r="31" spans="2:13" s="15" customFormat="1" ht="15" x14ac:dyDescent="0.25">
      <c r="B31" s="15">
        <f t="shared" si="0"/>
        <v>15</v>
      </c>
      <c r="C31" s="25">
        <f t="shared" si="1"/>
        <v>71791.421671246688</v>
      </c>
      <c r="D31" s="26">
        <f t="shared" si="2"/>
        <v>36124.578328753312</v>
      </c>
      <c r="E31" s="26">
        <f t="shared" si="3"/>
        <v>36124.578328753312</v>
      </c>
      <c r="F31" s="46">
        <f t="shared" si="4"/>
        <v>107916</v>
      </c>
      <c r="G31" s="47">
        <f>IF(B31="","",VLOOKUP($C$4,Param!$A:$I,MATCH(Flujo!$G$14,Param!$A$1:$J$1,0),0)*$C$6)</f>
        <v>12750.000000000002</v>
      </c>
      <c r="H31" s="47">
        <f>IF(B31="","",IF($C$4="Educativo (LP)",VLOOKUP($C$4,Param!$A$1:$I$4,MATCH(Flujo!$H$14,Param!$A$1:$I$1,0),0),0))</f>
        <v>0</v>
      </c>
      <c r="I31" s="23">
        <f t="shared" si="6"/>
        <v>120666</v>
      </c>
      <c r="J31" s="23">
        <f t="shared" si="5"/>
        <v>3987149.9635819346</v>
      </c>
      <c r="K31" s="23"/>
      <c r="L31" s="28">
        <f t="shared" si="7"/>
        <v>120666</v>
      </c>
    </row>
    <row r="32" spans="2:13" s="15" customFormat="1" ht="15" x14ac:dyDescent="0.25">
      <c r="B32" s="15">
        <f t="shared" si="0"/>
        <v>16</v>
      </c>
      <c r="C32" s="25">
        <f t="shared" si="1"/>
        <v>72430.365324120779</v>
      </c>
      <c r="D32" s="26">
        <f t="shared" si="2"/>
        <v>35485.634675879221</v>
      </c>
      <c r="E32" s="26">
        <f t="shared" si="3"/>
        <v>35485.634675879221</v>
      </c>
      <c r="F32" s="46">
        <f t="shared" si="4"/>
        <v>107916</v>
      </c>
      <c r="G32" s="47">
        <f>IF(B32="","",VLOOKUP($C$4,Param!$A:$I,MATCH(Flujo!$G$14,Param!$A$1:$J$1,0),0)*$C$6)</f>
        <v>12750.000000000002</v>
      </c>
      <c r="H32" s="47">
        <f>IF(B32="","",IF($C$4="Educativo (LP)",VLOOKUP($C$4,Param!$A$1:$I$4,MATCH(Flujo!$H$14,Param!$A$1:$I$1,0),0),0))</f>
        <v>0</v>
      </c>
      <c r="I32" s="23">
        <f t="shared" si="6"/>
        <v>120666</v>
      </c>
      <c r="J32" s="23">
        <f t="shared" si="5"/>
        <v>3914719.5982578136</v>
      </c>
      <c r="K32" s="23"/>
      <c r="L32" s="28">
        <f t="shared" si="7"/>
        <v>120666</v>
      </c>
    </row>
    <row r="33" spans="2:12" s="15" customFormat="1" ht="15" x14ac:dyDescent="0.25">
      <c r="B33" s="15">
        <f t="shared" si="0"/>
        <v>17</v>
      </c>
      <c r="C33" s="25">
        <f t="shared" si="1"/>
        <v>73074.995575505454</v>
      </c>
      <c r="D33" s="26">
        <f t="shared" si="2"/>
        <v>34841.004424494538</v>
      </c>
      <c r="E33" s="26">
        <f t="shared" si="3"/>
        <v>34841.004424494538</v>
      </c>
      <c r="F33" s="46">
        <f t="shared" si="4"/>
        <v>107916</v>
      </c>
      <c r="G33" s="47">
        <f>IF(B33="","",VLOOKUP($C$4,Param!$A:$I,MATCH(Flujo!$G$14,Param!$A$1:$J$1,0),0)*$C$6)</f>
        <v>12750.000000000002</v>
      </c>
      <c r="H33" s="47">
        <f>IF(B33="","",IF($C$4="Educativo (LP)",VLOOKUP($C$4,Param!$A$1:$I$4,MATCH(Flujo!$H$14,Param!$A$1:$I$1,0),0),0))</f>
        <v>0</v>
      </c>
      <c r="I33" s="23">
        <f t="shared" si="6"/>
        <v>120666</v>
      </c>
      <c r="J33" s="23">
        <f t="shared" si="5"/>
        <v>3841644.6026823083</v>
      </c>
      <c r="K33" s="23"/>
      <c r="L33" s="28">
        <f t="shared" si="7"/>
        <v>120666</v>
      </c>
    </row>
    <row r="34" spans="2:12" s="15" customFormat="1" ht="15" x14ac:dyDescent="0.25">
      <c r="B34" s="15">
        <f t="shared" si="0"/>
        <v>18</v>
      </c>
      <c r="C34" s="25">
        <f t="shared" si="1"/>
        <v>73725.363036127455</v>
      </c>
      <c r="D34" s="26">
        <f t="shared" si="2"/>
        <v>34190.636963872545</v>
      </c>
      <c r="E34" s="26">
        <f t="shared" si="3"/>
        <v>34190.636963872545</v>
      </c>
      <c r="F34" s="46">
        <f t="shared" si="4"/>
        <v>107916</v>
      </c>
      <c r="G34" s="47">
        <f>IF(B34="","",VLOOKUP($C$4,Param!$A:$I,MATCH(Flujo!$G$14,Param!$A$1:$J$1,0),0)*$C$6)</f>
        <v>12750.000000000002</v>
      </c>
      <c r="H34" s="47">
        <f>IF(B34="","",IF($C$4="Educativo (LP)",VLOOKUP($C$4,Param!$A$1:$I$4,MATCH(Flujo!$H$14,Param!$A$1:$I$1,0),0),0))</f>
        <v>0</v>
      </c>
      <c r="I34" s="23">
        <f t="shared" si="6"/>
        <v>120666</v>
      </c>
      <c r="J34" s="23">
        <f t="shared" si="5"/>
        <v>3767919.239646181</v>
      </c>
      <c r="K34" s="23"/>
      <c r="L34" s="28">
        <f t="shared" si="7"/>
        <v>120666</v>
      </c>
    </row>
    <row r="35" spans="2:12" s="15" customFormat="1" ht="15" x14ac:dyDescent="0.25">
      <c r="B35" s="15">
        <f t="shared" si="0"/>
        <v>19</v>
      </c>
      <c r="C35" s="25">
        <f t="shared" si="1"/>
        <v>74381.518767148984</v>
      </c>
      <c r="D35" s="26">
        <f t="shared" si="2"/>
        <v>33534.481232851009</v>
      </c>
      <c r="E35" s="26">
        <f t="shared" si="3"/>
        <v>33534.481232851009</v>
      </c>
      <c r="F35" s="46">
        <f t="shared" si="4"/>
        <v>107916</v>
      </c>
      <c r="G35" s="47">
        <f>IF(B35="","",VLOOKUP($C$4,Param!$A:$I,MATCH(Flujo!$G$14,Param!$A$1:$J$1,0),0)*$C$6)</f>
        <v>12750.000000000002</v>
      </c>
      <c r="H35" s="47">
        <f>IF(B35="","",IF($C$4="Educativo (LP)",VLOOKUP($C$4,Param!$A$1:$I$4,MATCH(Flujo!$H$14,Param!$A$1:$I$1,0),0),0))</f>
        <v>0</v>
      </c>
      <c r="I35" s="23">
        <f t="shared" si="6"/>
        <v>120666</v>
      </c>
      <c r="J35" s="23">
        <f t="shared" si="5"/>
        <v>3693537.7208790318</v>
      </c>
      <c r="K35" s="23"/>
      <c r="L35" s="28">
        <f t="shared" si="7"/>
        <v>120666</v>
      </c>
    </row>
    <row r="36" spans="2:12" s="15" customFormat="1" ht="15" x14ac:dyDescent="0.25">
      <c r="B36" s="15">
        <f t="shared" si="0"/>
        <v>20</v>
      </c>
      <c r="C36" s="25">
        <f t="shared" si="1"/>
        <v>75043.514284176606</v>
      </c>
      <c r="D36" s="26">
        <f t="shared" si="2"/>
        <v>32872.485715823386</v>
      </c>
      <c r="E36" s="26">
        <f t="shared" si="3"/>
        <v>32872.485715823386</v>
      </c>
      <c r="F36" s="46">
        <f t="shared" si="4"/>
        <v>107916</v>
      </c>
      <c r="G36" s="47">
        <f>IF(B36="","",VLOOKUP($C$4,Param!$A:$I,MATCH(Flujo!$G$14,Param!$A$1:$J$1,0),0)*$C$6)</f>
        <v>12750.000000000002</v>
      </c>
      <c r="H36" s="47">
        <f>IF(B36="","",IF($C$4="Educativo (LP)",VLOOKUP($C$4,Param!$A$1:$I$4,MATCH(Flujo!$H$14,Param!$A$1:$I$1,0),0),0))</f>
        <v>0</v>
      </c>
      <c r="I36" s="23">
        <f t="shared" si="6"/>
        <v>120666</v>
      </c>
      <c r="J36" s="23">
        <f t="shared" si="5"/>
        <v>3618494.2065948551</v>
      </c>
      <c r="K36" s="23"/>
      <c r="L36" s="28">
        <f t="shared" si="7"/>
        <v>120666</v>
      </c>
    </row>
    <row r="37" spans="2:12" s="15" customFormat="1" ht="15" x14ac:dyDescent="0.25">
      <c r="B37" s="15">
        <f t="shared" si="0"/>
        <v>21</v>
      </c>
      <c r="C37" s="25">
        <f t="shared" si="1"/>
        <v>75711.401561305785</v>
      </c>
      <c r="D37" s="26">
        <f t="shared" si="2"/>
        <v>32204.598438694211</v>
      </c>
      <c r="E37" s="26">
        <f t="shared" si="3"/>
        <v>32204.598438694211</v>
      </c>
      <c r="F37" s="46">
        <f t="shared" si="4"/>
        <v>107916</v>
      </c>
      <c r="G37" s="47">
        <f>IF(B37="","",VLOOKUP($C$4,Param!$A:$I,MATCH(Flujo!$G$14,Param!$A$1:$J$1,0),0)*$C$6)</f>
        <v>12750.000000000002</v>
      </c>
      <c r="H37" s="47">
        <f>IF(B37="","",IF($C$4="Educativo (LP)",VLOOKUP($C$4,Param!$A$1:$I$4,MATCH(Flujo!$H$14,Param!$A$1:$I$1,0),0),0))</f>
        <v>0</v>
      </c>
      <c r="I37" s="23">
        <f t="shared" si="6"/>
        <v>120666</v>
      </c>
      <c r="J37" s="23">
        <f t="shared" si="5"/>
        <v>3542782.8050335492</v>
      </c>
      <c r="K37" s="23"/>
      <c r="L37" s="28">
        <f t="shared" si="7"/>
        <v>120666</v>
      </c>
    </row>
    <row r="38" spans="2:12" s="15" customFormat="1" ht="15" x14ac:dyDescent="0.25">
      <c r="B38" s="15">
        <f t="shared" si="0"/>
        <v>22</v>
      </c>
      <c r="C38" s="25">
        <f t="shared" si="1"/>
        <v>76385.233035201411</v>
      </c>
      <c r="D38" s="26">
        <f t="shared" si="2"/>
        <v>31530.766964798586</v>
      </c>
      <c r="E38" s="26">
        <f t="shared" si="3"/>
        <v>31530.766964798586</v>
      </c>
      <c r="F38" s="46">
        <f t="shared" si="4"/>
        <v>107916</v>
      </c>
      <c r="G38" s="47">
        <f>IF(B38="","",VLOOKUP($C$4,Param!$A:$I,MATCH(Flujo!$G$14,Param!$A$1:$J$1,0),0)*$C$6)</f>
        <v>12750.000000000002</v>
      </c>
      <c r="H38" s="47">
        <f>IF(B38="","",IF($C$4="Educativo (LP)",VLOOKUP($C$4,Param!$A$1:$I$4,MATCH(Flujo!$H$14,Param!$A$1:$I$1,0),0),0))</f>
        <v>0</v>
      </c>
      <c r="I38" s="23">
        <f t="shared" si="6"/>
        <v>120666</v>
      </c>
      <c r="J38" s="23">
        <f t="shared" si="5"/>
        <v>3466397.571998348</v>
      </c>
      <c r="K38" s="23"/>
      <c r="L38" s="28">
        <f t="shared" si="7"/>
        <v>120666</v>
      </c>
    </row>
    <row r="39" spans="2:12" s="15" customFormat="1" ht="15" x14ac:dyDescent="0.25">
      <c r="B39" s="15">
        <f t="shared" si="0"/>
        <v>23</v>
      </c>
      <c r="C39" s="25">
        <f t="shared" si="1"/>
        <v>77065.061609214696</v>
      </c>
      <c r="D39" s="26">
        <f t="shared" si="2"/>
        <v>30850.938390785297</v>
      </c>
      <c r="E39" s="26">
        <f t="shared" si="3"/>
        <v>30850.938390785297</v>
      </c>
      <c r="F39" s="46">
        <f t="shared" si="4"/>
        <v>107916</v>
      </c>
      <c r="G39" s="47">
        <f>IF(B39="","",VLOOKUP($C$4,Param!$A:$I,MATCH(Flujo!$G$14,Param!$A$1:$J$1,0),0)*$C$6)</f>
        <v>12750.000000000002</v>
      </c>
      <c r="H39" s="47">
        <f>IF(B39="","",IF($C$4="Educativo (LP)",VLOOKUP($C$4,Param!$A$1:$I$4,MATCH(Flujo!$H$14,Param!$A$1:$I$1,0),0),0))</f>
        <v>0</v>
      </c>
      <c r="I39" s="23">
        <f t="shared" si="6"/>
        <v>120666</v>
      </c>
      <c r="J39" s="23">
        <f t="shared" si="5"/>
        <v>3389332.5103891334</v>
      </c>
      <c r="K39" s="23"/>
      <c r="L39" s="28">
        <f t="shared" si="7"/>
        <v>120666</v>
      </c>
    </row>
    <row r="40" spans="2:12" s="15" customFormat="1" ht="15" x14ac:dyDescent="0.25">
      <c r="B40" s="15">
        <f t="shared" si="0"/>
        <v>24</v>
      </c>
      <c r="C40" s="25">
        <f t="shared" si="1"/>
        <v>77750.940657536717</v>
      </c>
      <c r="D40" s="26">
        <f t="shared" si="2"/>
        <v>30165.059342463286</v>
      </c>
      <c r="E40" s="26">
        <f t="shared" si="3"/>
        <v>30165.059342463286</v>
      </c>
      <c r="F40" s="46">
        <f t="shared" si="4"/>
        <v>107916</v>
      </c>
      <c r="G40" s="47">
        <f>IF(B40="","",VLOOKUP($C$4,Param!$A:$I,MATCH(Flujo!$G$14,Param!$A$1:$J$1,0),0)*$C$6)</f>
        <v>12750.000000000002</v>
      </c>
      <c r="H40" s="47">
        <f>IF(B40="","",IF($C$4="Educativo (LP)",VLOOKUP($C$4,Param!$A$1:$I$4,MATCH(Flujo!$H$14,Param!$A$1:$I$1,0),0),0))</f>
        <v>0</v>
      </c>
      <c r="I40" s="23">
        <f t="shared" si="6"/>
        <v>120666</v>
      </c>
      <c r="J40" s="23">
        <f t="shared" si="5"/>
        <v>3311581.5697315969</v>
      </c>
      <c r="K40" s="23"/>
      <c r="L40" s="28">
        <f t="shared" si="7"/>
        <v>120666</v>
      </c>
    </row>
    <row r="41" spans="2:12" s="15" customFormat="1" ht="15" x14ac:dyDescent="0.25">
      <c r="B41" s="15">
        <f t="shared" si="0"/>
        <v>25</v>
      </c>
      <c r="C41" s="25">
        <f t="shared" si="1"/>
        <v>78442.924029388785</v>
      </c>
      <c r="D41" s="26">
        <f t="shared" si="2"/>
        <v>29473.075970611211</v>
      </c>
      <c r="E41" s="26">
        <f t="shared" si="3"/>
        <v>29473.075970611211</v>
      </c>
      <c r="F41" s="46">
        <f t="shared" si="4"/>
        <v>107916</v>
      </c>
      <c r="G41" s="47">
        <f>IF(B41="","",VLOOKUP($C$4,Param!$A:$I,MATCH(Flujo!$G$14,Param!$A$1:$J$1,0),0)*$C$6)</f>
        <v>12750.000000000002</v>
      </c>
      <c r="H41" s="47">
        <f>IF(B41="","",IF($C$4="Educativo (LP)",VLOOKUP($C$4,Param!$A$1:$I$4,MATCH(Flujo!$H$14,Param!$A$1:$I$1,0),0),0))</f>
        <v>0</v>
      </c>
      <c r="I41" s="23">
        <f t="shared" si="6"/>
        <v>120666</v>
      </c>
      <c r="J41" s="23">
        <f t="shared" si="5"/>
        <v>3233138.6457022079</v>
      </c>
      <c r="K41" s="23"/>
      <c r="L41" s="28">
        <f t="shared" si="7"/>
        <v>120666</v>
      </c>
    </row>
    <row r="42" spans="2:12" s="15" customFormat="1" ht="15" x14ac:dyDescent="0.25">
      <c r="B42" s="15">
        <f t="shared" si="0"/>
        <v>26</v>
      </c>
      <c r="C42" s="25">
        <f t="shared" si="1"/>
        <v>79141.066053250353</v>
      </c>
      <c r="D42" s="26">
        <f t="shared" si="2"/>
        <v>28774.93394674965</v>
      </c>
      <c r="E42" s="26">
        <f t="shared" si="3"/>
        <v>28774.93394674965</v>
      </c>
      <c r="F42" s="46">
        <f t="shared" si="4"/>
        <v>107916</v>
      </c>
      <c r="G42" s="47">
        <f>IF(B42="","",VLOOKUP($C$4,Param!$A:$I,MATCH(Flujo!$G$14,Param!$A$1:$J$1,0),0)*$C$6)</f>
        <v>12750.000000000002</v>
      </c>
      <c r="H42" s="47">
        <f>IF(B42="","",IF($C$4="Educativo (LP)",VLOOKUP($C$4,Param!$A$1:$I$4,MATCH(Flujo!$H$14,Param!$A$1:$I$1,0),0),0))</f>
        <v>0</v>
      </c>
      <c r="I42" s="23">
        <f t="shared" si="6"/>
        <v>120666</v>
      </c>
      <c r="J42" s="23">
        <f t="shared" si="5"/>
        <v>3153997.5796489576</v>
      </c>
      <c r="K42" s="23"/>
      <c r="L42" s="28">
        <f t="shared" si="7"/>
        <v>120666</v>
      </c>
    </row>
    <row r="43" spans="2:12" s="15" customFormat="1" ht="15" x14ac:dyDescent="0.25">
      <c r="B43" s="15">
        <f t="shared" si="0"/>
        <v>27</v>
      </c>
      <c r="C43" s="25">
        <f t="shared" si="1"/>
        <v>79845.421541124277</v>
      </c>
      <c r="D43" s="26">
        <f t="shared" si="2"/>
        <v>28070.578458875723</v>
      </c>
      <c r="E43" s="26">
        <f t="shared" si="3"/>
        <v>28070.578458875723</v>
      </c>
      <c r="F43" s="46">
        <f t="shared" si="4"/>
        <v>107916</v>
      </c>
      <c r="G43" s="47">
        <f>IF(B43="","",VLOOKUP($C$4,Param!$A:$I,MATCH(Flujo!$G$14,Param!$A$1:$J$1,0),0)*$C$6)</f>
        <v>12750.000000000002</v>
      </c>
      <c r="H43" s="47">
        <f>IF(B43="","",IF($C$4="Educativo (LP)",VLOOKUP($C$4,Param!$A$1:$I$4,MATCH(Flujo!$H$14,Param!$A$1:$I$1,0),0),0))</f>
        <v>0</v>
      </c>
      <c r="I43" s="23">
        <f t="shared" si="6"/>
        <v>120666</v>
      </c>
      <c r="J43" s="23">
        <f t="shared" si="5"/>
        <v>3074152.1581078335</v>
      </c>
      <c r="K43" s="23"/>
      <c r="L43" s="28">
        <f t="shared" si="7"/>
        <v>120666</v>
      </c>
    </row>
    <row r="44" spans="2:12" s="15" customFormat="1" ht="15" x14ac:dyDescent="0.25">
      <c r="B44" s="15">
        <f t="shared" si="0"/>
        <v>28</v>
      </c>
      <c r="C44" s="25">
        <f t="shared" si="1"/>
        <v>80556.045792840276</v>
      </c>
      <c r="D44" s="26">
        <f t="shared" si="2"/>
        <v>27359.954207159717</v>
      </c>
      <c r="E44" s="26">
        <f t="shared" si="3"/>
        <v>27359.954207159717</v>
      </c>
      <c r="F44" s="46">
        <f t="shared" si="4"/>
        <v>107916</v>
      </c>
      <c r="G44" s="47">
        <f>IF(B44="","",VLOOKUP($C$4,Param!$A:$I,MATCH(Flujo!$G$14,Param!$A$1:$J$1,0),0)*$C$6)</f>
        <v>12750.000000000002</v>
      </c>
      <c r="H44" s="47">
        <f>IF(B44="","",IF($C$4="Educativo (LP)",VLOOKUP($C$4,Param!$A$1:$I$4,MATCH(Flujo!$H$14,Param!$A$1:$I$1,0),0),0))</f>
        <v>0</v>
      </c>
      <c r="I44" s="23">
        <f t="shared" si="6"/>
        <v>120666</v>
      </c>
      <c r="J44" s="23">
        <f t="shared" si="5"/>
        <v>2993596.112314993</v>
      </c>
      <c r="K44" s="23"/>
      <c r="L44" s="28">
        <f t="shared" si="7"/>
        <v>120666</v>
      </c>
    </row>
    <row r="45" spans="2:12" s="15" customFormat="1" ht="15" x14ac:dyDescent="0.25">
      <c r="B45" s="15">
        <f t="shared" si="0"/>
        <v>29</v>
      </c>
      <c r="C45" s="25">
        <f t="shared" si="1"/>
        <v>81272.99460039656</v>
      </c>
      <c r="D45" s="26">
        <f t="shared" si="2"/>
        <v>26643.005399603437</v>
      </c>
      <c r="E45" s="26">
        <f t="shared" si="3"/>
        <v>26643.005399603437</v>
      </c>
      <c r="F45" s="46">
        <f t="shared" si="4"/>
        <v>107916</v>
      </c>
      <c r="G45" s="47">
        <f>IF(B45="","",VLOOKUP($C$4,Param!$A:$I,MATCH(Flujo!$G$14,Param!$A$1:$J$1,0),0)*$C$6)</f>
        <v>12750.000000000002</v>
      </c>
      <c r="H45" s="47">
        <f>IF(B45="","",IF($C$4="Educativo (LP)",VLOOKUP($C$4,Param!$A$1:$I$4,MATCH(Flujo!$H$14,Param!$A$1:$I$1,0),0),0))</f>
        <v>0</v>
      </c>
      <c r="I45" s="23">
        <f t="shared" si="6"/>
        <v>120666</v>
      </c>
      <c r="J45" s="23">
        <f t="shared" si="5"/>
        <v>2912323.1177145964</v>
      </c>
      <c r="K45" s="23"/>
      <c r="L45" s="28">
        <f t="shared" si="7"/>
        <v>120666</v>
      </c>
    </row>
    <row r="46" spans="2:12" s="15" customFormat="1" ht="15" x14ac:dyDescent="0.25">
      <c r="B46" s="15">
        <f t="shared" si="0"/>
        <v>30</v>
      </c>
      <c r="C46" s="25">
        <f t="shared" si="1"/>
        <v>81996.324252340099</v>
      </c>
      <c r="D46" s="26">
        <f t="shared" si="2"/>
        <v>25919.675747659909</v>
      </c>
      <c r="E46" s="26">
        <f t="shared" si="3"/>
        <v>25919.675747659909</v>
      </c>
      <c r="F46" s="46">
        <f t="shared" si="4"/>
        <v>107916</v>
      </c>
      <c r="G46" s="47">
        <f>IF(B46="","",VLOOKUP($C$4,Param!$A:$I,MATCH(Flujo!$G$14,Param!$A$1:$J$1,0),0)*$C$6)</f>
        <v>12750.000000000002</v>
      </c>
      <c r="H46" s="47">
        <f>IF(B46="","",IF($C$4="Educativo (LP)",VLOOKUP($C$4,Param!$A$1:$I$4,MATCH(Flujo!$H$14,Param!$A$1:$I$1,0),0),0))</f>
        <v>0</v>
      </c>
      <c r="I46" s="23">
        <f t="shared" si="6"/>
        <v>120666</v>
      </c>
      <c r="J46" s="23">
        <f t="shared" si="5"/>
        <v>2830326.7934622564</v>
      </c>
      <c r="K46" s="23"/>
      <c r="L46" s="28">
        <f t="shared" si="7"/>
        <v>120666</v>
      </c>
    </row>
    <row r="47" spans="2:12" s="15" customFormat="1" ht="15" x14ac:dyDescent="0.25">
      <c r="B47" s="15">
        <f t="shared" si="0"/>
        <v>31</v>
      </c>
      <c r="C47" s="25">
        <f t="shared" si="1"/>
        <v>82726.091538185923</v>
      </c>
      <c r="D47" s="26">
        <f t="shared" si="2"/>
        <v>25189.908461814081</v>
      </c>
      <c r="E47" s="26">
        <f t="shared" si="3"/>
        <v>25189.908461814081</v>
      </c>
      <c r="F47" s="46">
        <f t="shared" si="4"/>
        <v>107916</v>
      </c>
      <c r="G47" s="47">
        <f>IF(B47="","",VLOOKUP($C$4,Param!$A:$I,MATCH(Flujo!$G$14,Param!$A$1:$J$1,0),0)*$C$6)</f>
        <v>12750.000000000002</v>
      </c>
      <c r="H47" s="47">
        <f>IF(B47="","",IF($C$4="Educativo (LP)",VLOOKUP($C$4,Param!$A$1:$I$4,MATCH(Flujo!$H$14,Param!$A$1:$I$1,0),0),0))</f>
        <v>0</v>
      </c>
      <c r="I47" s="23">
        <f t="shared" si="6"/>
        <v>120666</v>
      </c>
      <c r="J47" s="23">
        <f t="shared" si="5"/>
        <v>2747600.7019240707</v>
      </c>
      <c r="K47" s="23"/>
      <c r="L47" s="28">
        <f t="shared" si="7"/>
        <v>120666</v>
      </c>
    </row>
    <row r="48" spans="2:12" s="15" customFormat="1" ht="15" x14ac:dyDescent="0.25">
      <c r="B48" s="15">
        <f t="shared" si="0"/>
        <v>32</v>
      </c>
      <c r="C48" s="25">
        <f t="shared" si="1"/>
        <v>83462.353752875773</v>
      </c>
      <c r="D48" s="26">
        <f t="shared" si="2"/>
        <v>24453.64624712423</v>
      </c>
      <c r="E48" s="26">
        <f t="shared" si="3"/>
        <v>24453.64624712423</v>
      </c>
      <c r="F48" s="46">
        <f t="shared" si="4"/>
        <v>107916</v>
      </c>
      <c r="G48" s="47">
        <f>IF(B48="","",VLOOKUP($C$4,Param!$A:$I,MATCH(Flujo!$G$14,Param!$A$1:$J$1,0),0)*$C$6)</f>
        <v>12750.000000000002</v>
      </c>
      <c r="H48" s="47">
        <f>IF(B48="","",IF($C$4="Educativo (LP)",VLOOKUP($C$4,Param!$A$1:$I$4,MATCH(Flujo!$H$14,Param!$A$1:$I$1,0),0),0))</f>
        <v>0</v>
      </c>
      <c r="I48" s="23">
        <f t="shared" si="6"/>
        <v>120666</v>
      </c>
      <c r="J48" s="23">
        <f t="shared" si="5"/>
        <v>2664138.348171195</v>
      </c>
      <c r="K48" s="23"/>
      <c r="L48" s="28">
        <f t="shared" si="7"/>
        <v>120666</v>
      </c>
    </row>
    <row r="49" spans="2:12" s="15" customFormat="1" ht="15" x14ac:dyDescent="0.25">
      <c r="B49" s="15">
        <f t="shared" ref="B49:B80" si="8">IF(B48&gt;=$C$9,"",IF(J48=0,"",B48+1))</f>
        <v>33</v>
      </c>
      <c r="C49" s="25">
        <f t="shared" ref="C49:C80" si="9">IF(B49="","",IF(B49=$C$9,J48,cuota-D49))</f>
        <v>84205.168701276358</v>
      </c>
      <c r="D49" s="26">
        <f t="shared" ref="D49:D80" si="10">(IF(J48&lt;0,0,IF(B49&lt;=$C$9,$J48*$C$12,"")))</f>
        <v>23710.831298723635</v>
      </c>
      <c r="E49" s="26">
        <f t="shared" ref="E49:E80" si="11">IF(B49="","",SUM(D49:D49))</f>
        <v>23710.831298723635</v>
      </c>
      <c r="F49" s="46">
        <f t="shared" ref="F49:F80" si="12">IF(B49=$C$9,D49+C49,IF(B49="","",cuota))</f>
        <v>107916</v>
      </c>
      <c r="G49" s="47">
        <f>IF(B49="","",VLOOKUP($C$4,Param!$A:$I,MATCH(Flujo!$G$14,Param!$A$1:$J$1,0),0)*$C$6)</f>
        <v>12750.000000000002</v>
      </c>
      <c r="H49" s="47">
        <f>IF(B49="","",IF($C$4="Educativo (LP)",VLOOKUP($C$4,Param!$A$1:$I$4,MATCH(Flujo!$H$14,Param!$A$1:$I$1,0),0),0))</f>
        <v>0</v>
      </c>
      <c r="I49" s="23">
        <f t="shared" si="6"/>
        <v>120666</v>
      </c>
      <c r="J49" s="23">
        <f t="shared" ref="J49:J80" si="13">IF(B49&lt;=$C$9,(J48-C49),"")</f>
        <v>2579933.1794699188</v>
      </c>
      <c r="K49" s="23"/>
      <c r="L49" s="28">
        <f t="shared" si="7"/>
        <v>120666</v>
      </c>
    </row>
    <row r="50" spans="2:12" s="15" customFormat="1" ht="15" x14ac:dyDescent="0.25">
      <c r="B50" s="15">
        <f t="shared" si="8"/>
        <v>34</v>
      </c>
      <c r="C50" s="25">
        <f t="shared" si="9"/>
        <v>84954.594702717717</v>
      </c>
      <c r="D50" s="26">
        <f t="shared" si="10"/>
        <v>22961.405297282279</v>
      </c>
      <c r="E50" s="26">
        <f t="shared" si="11"/>
        <v>22961.405297282279</v>
      </c>
      <c r="F50" s="46">
        <f t="shared" si="12"/>
        <v>107916</v>
      </c>
      <c r="G50" s="47">
        <f>IF(B50="","",VLOOKUP($C$4,Param!$A:$I,MATCH(Flujo!$G$14,Param!$A$1:$J$1,0),0)*$C$6)</f>
        <v>12750.000000000002</v>
      </c>
      <c r="H50" s="47">
        <f>IF(B50="","",IF($C$4="Educativo (LP)",VLOOKUP($C$4,Param!$A$1:$I$4,MATCH(Flujo!$H$14,Param!$A$1:$I$1,0),0),0))</f>
        <v>0</v>
      </c>
      <c r="I50" s="23">
        <f t="shared" si="6"/>
        <v>120666</v>
      </c>
      <c r="J50" s="23">
        <f t="shared" si="13"/>
        <v>2494978.584767201</v>
      </c>
      <c r="K50" s="23"/>
      <c r="L50" s="28">
        <f t="shared" si="7"/>
        <v>120666</v>
      </c>
    </row>
    <row r="51" spans="2:12" s="15" customFormat="1" ht="15" x14ac:dyDescent="0.25">
      <c r="B51" s="15">
        <f t="shared" si="8"/>
        <v>35</v>
      </c>
      <c r="C51" s="25">
        <f t="shared" si="9"/>
        <v>85710.690595571912</v>
      </c>
      <c r="D51" s="26">
        <f t="shared" si="10"/>
        <v>22205.309404428088</v>
      </c>
      <c r="E51" s="26">
        <f t="shared" si="11"/>
        <v>22205.309404428088</v>
      </c>
      <c r="F51" s="46">
        <f t="shared" si="12"/>
        <v>107916</v>
      </c>
      <c r="G51" s="47">
        <f>IF(B51="","",VLOOKUP($C$4,Param!$A:$I,MATCH(Flujo!$G$14,Param!$A$1:$J$1,0),0)*$C$6)</f>
        <v>12750.000000000002</v>
      </c>
      <c r="H51" s="47">
        <f>IF(B51="","",IF($C$4="Educativo (LP)",VLOOKUP($C$4,Param!$A$1:$I$4,MATCH(Flujo!$H$14,Param!$A$1:$I$1,0),0),0))</f>
        <v>0</v>
      </c>
      <c r="I51" s="23">
        <f t="shared" si="6"/>
        <v>120666</v>
      </c>
      <c r="J51" s="23">
        <f t="shared" si="13"/>
        <v>2409267.8941716291</v>
      </c>
      <c r="K51" s="23"/>
      <c r="L51" s="28">
        <f t="shared" si="7"/>
        <v>120666</v>
      </c>
    </row>
    <row r="52" spans="2:12" s="15" customFormat="1" ht="15" x14ac:dyDescent="0.25">
      <c r="B52" s="15">
        <f t="shared" si="8"/>
        <v>36</v>
      </c>
      <c r="C52" s="25">
        <f t="shared" si="9"/>
        <v>86473.515741872499</v>
      </c>
      <c r="D52" s="26">
        <f t="shared" si="10"/>
        <v>21442.484258127497</v>
      </c>
      <c r="E52" s="26">
        <f t="shared" si="11"/>
        <v>21442.484258127497</v>
      </c>
      <c r="F52" s="46">
        <f t="shared" si="12"/>
        <v>107916</v>
      </c>
      <c r="G52" s="47">
        <f>IF(B52="","",VLOOKUP($C$4,Param!$A:$I,MATCH(Flujo!$G$14,Param!$A$1:$J$1,0),0)*$C$6)</f>
        <v>12750.000000000002</v>
      </c>
      <c r="H52" s="47">
        <f>IF(B52="","",IF($C$4="Educativo (LP)",VLOOKUP($C$4,Param!$A$1:$I$4,MATCH(Flujo!$H$14,Param!$A$1:$I$1,0),0),0))</f>
        <v>0</v>
      </c>
      <c r="I52" s="23">
        <f t="shared" si="6"/>
        <v>120666</v>
      </c>
      <c r="J52" s="23">
        <f t="shared" si="13"/>
        <v>2322794.3784297565</v>
      </c>
      <c r="K52" s="23"/>
      <c r="L52" s="28">
        <f t="shared" si="7"/>
        <v>120666</v>
      </c>
    </row>
    <row r="53" spans="2:12" s="15" customFormat="1" ht="15" x14ac:dyDescent="0.25">
      <c r="B53" s="15">
        <f t="shared" si="8"/>
        <v>37</v>
      </c>
      <c r="C53" s="25">
        <f t="shared" si="9"/>
        <v>87243.130031975161</v>
      </c>
      <c r="D53" s="26">
        <f t="shared" si="10"/>
        <v>20672.869968024832</v>
      </c>
      <c r="E53" s="26">
        <f t="shared" si="11"/>
        <v>20672.869968024832</v>
      </c>
      <c r="F53" s="46">
        <f t="shared" si="12"/>
        <v>107916</v>
      </c>
      <c r="G53" s="47">
        <f>IF(B53="","",VLOOKUP($C$4,Param!$A:$I,MATCH(Flujo!$G$14,Param!$A$1:$J$1,0),0)*$C$6)</f>
        <v>12750.000000000002</v>
      </c>
      <c r="H53" s="47">
        <f>IF(B53="","",IF($C$4="Educativo (LP)",VLOOKUP($C$4,Param!$A$1:$I$4,MATCH(Flujo!$H$14,Param!$A$1:$I$1,0),0),0))</f>
        <v>0</v>
      </c>
      <c r="I53" s="23">
        <f t="shared" si="6"/>
        <v>120666</v>
      </c>
      <c r="J53" s="23">
        <f t="shared" si="13"/>
        <v>2235551.2483977815</v>
      </c>
      <c r="K53" s="23"/>
      <c r="L53" s="28">
        <f t="shared" si="7"/>
        <v>120666</v>
      </c>
    </row>
    <row r="54" spans="2:12" s="15" customFormat="1" ht="15" x14ac:dyDescent="0.25">
      <c r="B54" s="15">
        <f t="shared" si="8"/>
        <v>38</v>
      </c>
      <c r="C54" s="25">
        <f t="shared" si="9"/>
        <v>88019.593889259748</v>
      </c>
      <c r="D54" s="26">
        <f t="shared" si="10"/>
        <v>19896.406110740256</v>
      </c>
      <c r="E54" s="26">
        <f t="shared" si="11"/>
        <v>19896.406110740256</v>
      </c>
      <c r="F54" s="46">
        <f t="shared" si="12"/>
        <v>107916</v>
      </c>
      <c r="G54" s="47">
        <f>IF(B54="","",VLOOKUP($C$4,Param!$A:$I,MATCH(Flujo!$G$14,Param!$A$1:$J$1,0),0)*$C$6)</f>
        <v>12750.000000000002</v>
      </c>
      <c r="H54" s="47">
        <f>IF(B54="","",IF($C$4="Educativo (LP)",VLOOKUP($C$4,Param!$A$1:$I$4,MATCH(Flujo!$H$14,Param!$A$1:$I$1,0),0),0))</f>
        <v>0</v>
      </c>
      <c r="I54" s="23">
        <f t="shared" si="6"/>
        <v>120666</v>
      </c>
      <c r="J54" s="23">
        <f t="shared" si="13"/>
        <v>2147531.6545085218</v>
      </c>
      <c r="K54" s="23"/>
      <c r="L54" s="28">
        <f t="shared" si="7"/>
        <v>120666</v>
      </c>
    </row>
    <row r="55" spans="2:12" s="15" customFormat="1" ht="15" x14ac:dyDescent="0.25">
      <c r="B55" s="15">
        <f t="shared" si="8"/>
        <v>39</v>
      </c>
      <c r="C55" s="25">
        <f t="shared" si="9"/>
        <v>88802.968274874162</v>
      </c>
      <c r="D55" s="26">
        <f t="shared" si="10"/>
        <v>19113.031725125842</v>
      </c>
      <c r="E55" s="26">
        <f t="shared" si="11"/>
        <v>19113.031725125842</v>
      </c>
      <c r="F55" s="46">
        <f t="shared" si="12"/>
        <v>107916</v>
      </c>
      <c r="G55" s="47">
        <f>IF(B55="","",VLOOKUP($C$4,Param!$A:$I,MATCH(Flujo!$G$14,Param!$A$1:$J$1,0),0)*$C$6)</f>
        <v>12750.000000000002</v>
      </c>
      <c r="H55" s="47">
        <f>IF(B55="","",IF($C$4="Educativo (LP)",VLOOKUP($C$4,Param!$A$1:$I$4,MATCH(Flujo!$H$14,Param!$A$1:$I$1,0),0),0))</f>
        <v>0</v>
      </c>
      <c r="I55" s="23">
        <f t="shared" si="6"/>
        <v>120666</v>
      </c>
      <c r="J55" s="23">
        <f t="shared" si="13"/>
        <v>2058728.6862336476</v>
      </c>
      <c r="K55" s="23"/>
      <c r="L55" s="28">
        <f t="shared" si="7"/>
        <v>120666</v>
      </c>
    </row>
    <row r="56" spans="2:12" s="15" customFormat="1" ht="15" x14ac:dyDescent="0.25">
      <c r="B56" s="15">
        <f t="shared" si="8"/>
        <v>40</v>
      </c>
      <c r="C56" s="25">
        <f t="shared" si="9"/>
        <v>89593.314692520536</v>
      </c>
      <c r="D56" s="26">
        <f t="shared" si="10"/>
        <v>18322.685307479464</v>
      </c>
      <c r="E56" s="26">
        <f t="shared" si="11"/>
        <v>18322.685307479464</v>
      </c>
      <c r="F56" s="46">
        <f t="shared" si="12"/>
        <v>107916</v>
      </c>
      <c r="G56" s="47">
        <f>IF(B56="","",VLOOKUP($C$4,Param!$A:$I,MATCH(Flujo!$G$14,Param!$A$1:$J$1,0),0)*$C$6)</f>
        <v>12750.000000000002</v>
      </c>
      <c r="H56" s="47">
        <f>IF(B56="","",IF($C$4="Educativo (LP)",VLOOKUP($C$4,Param!$A$1:$I$4,MATCH(Flujo!$H$14,Param!$A$1:$I$1,0),0),0))</f>
        <v>0</v>
      </c>
      <c r="I56" s="23">
        <f t="shared" si="6"/>
        <v>120666</v>
      </c>
      <c r="J56" s="23">
        <f t="shared" si="13"/>
        <v>1969135.3715411271</v>
      </c>
      <c r="K56" s="23"/>
      <c r="L56" s="28">
        <f t="shared" si="7"/>
        <v>120666</v>
      </c>
    </row>
    <row r="57" spans="2:12" s="15" customFormat="1" ht="15" x14ac:dyDescent="0.25">
      <c r="B57" s="15">
        <f t="shared" si="8"/>
        <v>41</v>
      </c>
      <c r="C57" s="25">
        <f t="shared" si="9"/>
        <v>90390.695193283973</v>
      </c>
      <c r="D57" s="26">
        <f t="shared" si="10"/>
        <v>17525.304806716031</v>
      </c>
      <c r="E57" s="26">
        <f t="shared" si="11"/>
        <v>17525.304806716031</v>
      </c>
      <c r="F57" s="46">
        <f t="shared" si="12"/>
        <v>107916</v>
      </c>
      <c r="G57" s="47">
        <f>IF(B57="","",VLOOKUP($C$4,Param!$A:$I,MATCH(Flujo!$G$14,Param!$A$1:$J$1,0),0)*$C$6)</f>
        <v>12750.000000000002</v>
      </c>
      <c r="H57" s="47">
        <f>IF(B57="","",IF($C$4="Educativo (LP)",VLOOKUP($C$4,Param!$A$1:$I$4,MATCH(Flujo!$H$14,Param!$A$1:$I$1,0),0),0))</f>
        <v>0</v>
      </c>
      <c r="I57" s="23">
        <f t="shared" si="6"/>
        <v>120666</v>
      </c>
      <c r="J57" s="23">
        <f t="shared" si="13"/>
        <v>1878744.6763478431</v>
      </c>
      <c r="K57" s="23"/>
      <c r="L57" s="28">
        <f t="shared" si="7"/>
        <v>120666</v>
      </c>
    </row>
    <row r="58" spans="2:12" s="15" customFormat="1" ht="15" x14ac:dyDescent="0.25">
      <c r="B58" s="15">
        <f t="shared" si="8"/>
        <v>42</v>
      </c>
      <c r="C58" s="25">
        <f t="shared" si="9"/>
        <v>91195.172380504198</v>
      </c>
      <c r="D58" s="26">
        <f t="shared" si="10"/>
        <v>16720.827619495805</v>
      </c>
      <c r="E58" s="26">
        <f t="shared" si="11"/>
        <v>16720.827619495805</v>
      </c>
      <c r="F58" s="46">
        <f t="shared" si="12"/>
        <v>107916</v>
      </c>
      <c r="G58" s="47">
        <f>IF(B58="","",VLOOKUP($C$4,Param!$A:$I,MATCH(Flujo!$G$14,Param!$A$1:$J$1,0),0)*$C$6)</f>
        <v>12750.000000000002</v>
      </c>
      <c r="H58" s="47">
        <f>IF(B58="","",IF($C$4="Educativo (LP)",VLOOKUP($C$4,Param!$A$1:$I$4,MATCH(Flujo!$H$14,Param!$A$1:$I$1,0),0),0))</f>
        <v>0</v>
      </c>
      <c r="I58" s="23">
        <f t="shared" si="6"/>
        <v>120666</v>
      </c>
      <c r="J58" s="23">
        <f t="shared" si="13"/>
        <v>1787549.5039673389</v>
      </c>
      <c r="K58" s="23"/>
      <c r="L58" s="28">
        <f t="shared" si="7"/>
        <v>120666</v>
      </c>
    </row>
    <row r="59" spans="2:12" s="15" customFormat="1" ht="15" x14ac:dyDescent="0.25">
      <c r="B59" s="15">
        <f t="shared" si="8"/>
        <v>43</v>
      </c>
      <c r="C59" s="25">
        <f t="shared" si="9"/>
        <v>92006.809414690681</v>
      </c>
      <c r="D59" s="26">
        <f t="shared" si="10"/>
        <v>15909.190585309316</v>
      </c>
      <c r="E59" s="26">
        <f t="shared" si="11"/>
        <v>15909.190585309316</v>
      </c>
      <c r="F59" s="46">
        <f t="shared" si="12"/>
        <v>107916</v>
      </c>
      <c r="G59" s="47">
        <f>IF(B59="","",VLOOKUP($C$4,Param!$A:$I,MATCH(Flujo!$G$14,Param!$A$1:$J$1,0),0)*$C$6)</f>
        <v>12750.000000000002</v>
      </c>
      <c r="H59" s="47">
        <f>IF(B59="","",IF($C$4="Educativo (LP)",VLOOKUP($C$4,Param!$A$1:$I$4,MATCH(Flujo!$H$14,Param!$A$1:$I$1,0),0),0))</f>
        <v>0</v>
      </c>
      <c r="I59" s="23">
        <f t="shared" si="6"/>
        <v>120666</v>
      </c>
      <c r="J59" s="23">
        <f t="shared" si="13"/>
        <v>1695542.6945526483</v>
      </c>
      <c r="K59" s="23"/>
      <c r="L59" s="28">
        <f t="shared" si="7"/>
        <v>120666</v>
      </c>
    </row>
    <row r="60" spans="2:12" s="15" customFormat="1" ht="15" x14ac:dyDescent="0.25">
      <c r="B60" s="15">
        <f t="shared" si="8"/>
        <v>44</v>
      </c>
      <c r="C60" s="25">
        <f t="shared" si="9"/>
        <v>92825.670018481425</v>
      </c>
      <c r="D60" s="26">
        <f t="shared" si="10"/>
        <v>15090.329981518571</v>
      </c>
      <c r="E60" s="26">
        <f t="shared" si="11"/>
        <v>15090.329981518571</v>
      </c>
      <c r="F60" s="46">
        <f t="shared" si="12"/>
        <v>107916</v>
      </c>
      <c r="G60" s="47">
        <f>IF(B60="","",VLOOKUP($C$4,Param!$A:$I,MATCH(Flujo!$G$14,Param!$A$1:$J$1,0),0)*$C$6)</f>
        <v>12750.000000000002</v>
      </c>
      <c r="H60" s="47">
        <f>IF(B60="","",IF($C$4="Educativo (LP)",VLOOKUP($C$4,Param!$A$1:$I$4,MATCH(Flujo!$H$14,Param!$A$1:$I$1,0),0),0))</f>
        <v>0</v>
      </c>
      <c r="I60" s="23">
        <f t="shared" si="6"/>
        <v>120666</v>
      </c>
      <c r="J60" s="23">
        <f t="shared" si="13"/>
        <v>1602717.024534167</v>
      </c>
      <c r="K60" s="23"/>
      <c r="L60" s="28">
        <f t="shared" si="7"/>
        <v>120666</v>
      </c>
    </row>
    <row r="61" spans="2:12" s="15" customFormat="1" ht="15" x14ac:dyDescent="0.25">
      <c r="B61" s="15">
        <f t="shared" si="8"/>
        <v>45</v>
      </c>
      <c r="C61" s="25">
        <f t="shared" si="9"/>
        <v>93651.818481645911</v>
      </c>
      <c r="D61" s="26">
        <f t="shared" si="10"/>
        <v>14264.181518354086</v>
      </c>
      <c r="E61" s="26">
        <f t="shared" si="11"/>
        <v>14264.181518354086</v>
      </c>
      <c r="F61" s="46">
        <f t="shared" si="12"/>
        <v>107916</v>
      </c>
      <c r="G61" s="47">
        <f>IF(B61="","",VLOOKUP($C$4,Param!$A:$I,MATCH(Flujo!$G$14,Param!$A$1:$J$1,0),0)*$C$6)</f>
        <v>12750.000000000002</v>
      </c>
      <c r="H61" s="47">
        <f>IF(B61="","",IF($C$4="Educativo (LP)",VLOOKUP($C$4,Param!$A$1:$I$4,MATCH(Flujo!$H$14,Param!$A$1:$I$1,0),0),0))</f>
        <v>0</v>
      </c>
      <c r="I61" s="23">
        <f t="shared" si="6"/>
        <v>120666</v>
      </c>
      <c r="J61" s="23">
        <f t="shared" si="13"/>
        <v>1509065.206052521</v>
      </c>
      <c r="K61" s="23"/>
      <c r="L61" s="28">
        <f t="shared" si="7"/>
        <v>120666</v>
      </c>
    </row>
    <row r="62" spans="2:12" s="15" customFormat="1" ht="15" x14ac:dyDescent="0.25">
      <c r="B62" s="15">
        <f t="shared" si="8"/>
        <v>46</v>
      </c>
      <c r="C62" s="25">
        <f t="shared" si="9"/>
        <v>94485.319666132564</v>
      </c>
      <c r="D62" s="26">
        <f t="shared" si="10"/>
        <v>13430.680333867436</v>
      </c>
      <c r="E62" s="26">
        <f t="shared" si="11"/>
        <v>13430.680333867436</v>
      </c>
      <c r="F62" s="46">
        <f t="shared" si="12"/>
        <v>107916</v>
      </c>
      <c r="G62" s="47">
        <f>IF(B62="","",VLOOKUP($C$4,Param!$A:$I,MATCH(Flujo!$G$14,Param!$A$1:$J$1,0),0)*$C$6)</f>
        <v>12750.000000000002</v>
      </c>
      <c r="H62" s="47">
        <f>IF(B62="","",IF($C$4="Educativo (LP)",VLOOKUP($C$4,Param!$A$1:$I$4,MATCH(Flujo!$H$14,Param!$A$1:$I$1,0),0),0))</f>
        <v>0</v>
      </c>
      <c r="I62" s="23">
        <f t="shared" si="6"/>
        <v>120666</v>
      </c>
      <c r="J62" s="23">
        <f t="shared" si="13"/>
        <v>1414579.8863863884</v>
      </c>
      <c r="K62" s="23"/>
      <c r="L62" s="28">
        <f t="shared" si="7"/>
        <v>120666</v>
      </c>
    </row>
    <row r="63" spans="2:12" s="15" customFormat="1" ht="15" x14ac:dyDescent="0.25">
      <c r="B63" s="15">
        <f t="shared" si="8"/>
        <v>47</v>
      </c>
      <c r="C63" s="25">
        <f t="shared" si="9"/>
        <v>95326.239011161146</v>
      </c>
      <c r="D63" s="26">
        <f t="shared" si="10"/>
        <v>12589.760988838858</v>
      </c>
      <c r="E63" s="26">
        <f t="shared" si="11"/>
        <v>12589.760988838858</v>
      </c>
      <c r="F63" s="46">
        <f t="shared" si="12"/>
        <v>107916</v>
      </c>
      <c r="G63" s="47">
        <f>IF(B63="","",VLOOKUP($C$4,Param!$A:$I,MATCH(Flujo!$G$14,Param!$A$1:$J$1,0),0)*$C$6)</f>
        <v>12750.000000000002</v>
      </c>
      <c r="H63" s="47">
        <f>IF(B63="","",IF($C$4="Educativo (LP)",VLOOKUP($C$4,Param!$A$1:$I$4,MATCH(Flujo!$H$14,Param!$A$1:$I$1,0),0),0))</f>
        <v>0</v>
      </c>
      <c r="I63" s="23">
        <f t="shared" si="6"/>
        <v>120666</v>
      </c>
      <c r="J63" s="23">
        <f t="shared" si="13"/>
        <v>1319253.6473752274</v>
      </c>
      <c r="K63" s="23"/>
      <c r="L63" s="28">
        <f t="shared" si="7"/>
        <v>120666</v>
      </c>
    </row>
    <row r="64" spans="2:12" s="15" customFormat="1" ht="15" x14ac:dyDescent="0.25">
      <c r="B64" s="15">
        <f t="shared" si="8"/>
        <v>48</v>
      </c>
      <c r="C64" s="25">
        <f t="shared" si="9"/>
        <v>96174.64253836048</v>
      </c>
      <c r="D64" s="26">
        <f t="shared" si="10"/>
        <v>11741.357461639524</v>
      </c>
      <c r="E64" s="26">
        <f t="shared" si="11"/>
        <v>11741.357461639524</v>
      </c>
      <c r="F64" s="46">
        <f t="shared" si="12"/>
        <v>107916</v>
      </c>
      <c r="G64" s="47">
        <f>IF(B64="","",VLOOKUP($C$4,Param!$A:$I,MATCH(Flujo!$G$14,Param!$A$1:$J$1,0),0)*$C$6)</f>
        <v>12750.000000000002</v>
      </c>
      <c r="H64" s="47">
        <f>IF(B64="","",IF($C$4="Educativo (LP)",VLOOKUP($C$4,Param!$A$1:$I$4,MATCH(Flujo!$H$14,Param!$A$1:$I$1,0),0),0))</f>
        <v>0</v>
      </c>
      <c r="I64" s="23">
        <f t="shared" si="6"/>
        <v>120666</v>
      </c>
      <c r="J64" s="23">
        <f t="shared" si="13"/>
        <v>1223079.0048368669</v>
      </c>
      <c r="K64" s="23"/>
      <c r="L64" s="28">
        <f t="shared" si="7"/>
        <v>120666</v>
      </c>
    </row>
    <row r="65" spans="2:12" s="15" customFormat="1" ht="15" x14ac:dyDescent="0.25">
      <c r="B65" s="15">
        <f t="shared" si="8"/>
        <v>49</v>
      </c>
      <c r="C65" s="25">
        <f t="shared" si="9"/>
        <v>97030.596856951888</v>
      </c>
      <c r="D65" s="26">
        <f t="shared" si="10"/>
        <v>10885.403143048115</v>
      </c>
      <c r="E65" s="26">
        <f t="shared" si="11"/>
        <v>10885.403143048115</v>
      </c>
      <c r="F65" s="46">
        <f t="shared" si="12"/>
        <v>107916</v>
      </c>
      <c r="G65" s="47">
        <f>IF(B65="","",VLOOKUP($C$4,Param!$A:$I,MATCH(Flujo!$G$14,Param!$A$1:$J$1,0),0)*$C$6)</f>
        <v>12750.000000000002</v>
      </c>
      <c r="H65" s="47">
        <f>IF(B65="","",IF($C$4="Educativo (LP)",VLOOKUP($C$4,Param!$A$1:$I$4,MATCH(Flujo!$H$14,Param!$A$1:$I$1,0),0),0))</f>
        <v>0</v>
      </c>
      <c r="I65" s="23">
        <f t="shared" si="6"/>
        <v>120666</v>
      </c>
      <c r="J65" s="23">
        <f t="shared" si="13"/>
        <v>1126048.4079799149</v>
      </c>
      <c r="K65" s="23"/>
      <c r="L65" s="28">
        <f t="shared" si="7"/>
        <v>120666</v>
      </c>
    </row>
    <row r="66" spans="2:12" s="15" customFormat="1" ht="15" x14ac:dyDescent="0.25">
      <c r="B66" s="15">
        <f t="shared" si="8"/>
        <v>50</v>
      </c>
      <c r="C66" s="25">
        <f t="shared" si="9"/>
        <v>97894.169168978755</v>
      </c>
      <c r="D66" s="26">
        <f t="shared" si="10"/>
        <v>10021.830831021243</v>
      </c>
      <c r="E66" s="26">
        <f t="shared" si="11"/>
        <v>10021.830831021243</v>
      </c>
      <c r="F66" s="46">
        <f t="shared" si="12"/>
        <v>107916</v>
      </c>
      <c r="G66" s="47">
        <f>IF(B66="","",VLOOKUP($C$4,Param!$A:$I,MATCH(Flujo!$G$14,Param!$A$1:$J$1,0),0)*$C$6)</f>
        <v>12750.000000000002</v>
      </c>
      <c r="H66" s="47">
        <f>IF(B66="","",IF($C$4="Educativo (LP)",VLOOKUP($C$4,Param!$A$1:$I$4,MATCH(Flujo!$H$14,Param!$A$1:$I$1,0),0),0))</f>
        <v>0</v>
      </c>
      <c r="I66" s="23">
        <f t="shared" si="6"/>
        <v>120666</v>
      </c>
      <c r="J66" s="23">
        <f t="shared" si="13"/>
        <v>1028154.2388109362</v>
      </c>
      <c r="K66" s="23"/>
      <c r="L66" s="28">
        <f t="shared" si="7"/>
        <v>120666</v>
      </c>
    </row>
    <row r="67" spans="2:12" s="15" customFormat="1" ht="15" x14ac:dyDescent="0.25">
      <c r="B67" s="15">
        <f t="shared" si="8"/>
        <v>51</v>
      </c>
      <c r="C67" s="25">
        <f t="shared" si="9"/>
        <v>98765.427274582675</v>
      </c>
      <c r="D67" s="26">
        <f t="shared" si="10"/>
        <v>9150.5727254173325</v>
      </c>
      <c r="E67" s="26">
        <f t="shared" si="11"/>
        <v>9150.5727254173325</v>
      </c>
      <c r="F67" s="46">
        <f t="shared" si="12"/>
        <v>107916</v>
      </c>
      <c r="G67" s="47">
        <f>IF(B67="","",VLOOKUP($C$4,Param!$A:$I,MATCH(Flujo!$G$14,Param!$A$1:$J$1,0),0)*$C$6)</f>
        <v>12750.000000000002</v>
      </c>
      <c r="H67" s="47">
        <f>IF(B67="","",IF($C$4="Educativo (LP)",VLOOKUP($C$4,Param!$A$1:$I$4,MATCH(Flujo!$H$14,Param!$A$1:$I$1,0),0),0))</f>
        <v>0</v>
      </c>
      <c r="I67" s="23">
        <f t="shared" si="6"/>
        <v>120666</v>
      </c>
      <c r="J67" s="23">
        <f t="shared" si="13"/>
        <v>929388.81153635355</v>
      </c>
      <c r="K67" s="23"/>
      <c r="L67" s="28">
        <f t="shared" si="7"/>
        <v>120666</v>
      </c>
    </row>
    <row r="68" spans="2:12" s="15" customFormat="1" ht="15" x14ac:dyDescent="0.25">
      <c r="B68" s="15">
        <f t="shared" si="8"/>
        <v>52</v>
      </c>
      <c r="C68" s="25">
        <f t="shared" si="9"/>
        <v>99644.439577326455</v>
      </c>
      <c r="D68" s="26">
        <f t="shared" si="10"/>
        <v>8271.5604226735468</v>
      </c>
      <c r="E68" s="26">
        <f t="shared" si="11"/>
        <v>8271.5604226735468</v>
      </c>
      <c r="F68" s="46">
        <f t="shared" si="12"/>
        <v>107916</v>
      </c>
      <c r="G68" s="47">
        <f>IF(B68="","",VLOOKUP($C$4,Param!$A:$I,MATCH(Flujo!$G$14,Param!$A$1:$J$1,0),0)*$C$6)</f>
        <v>12750.000000000002</v>
      </c>
      <c r="H68" s="47">
        <f>IF(B68="","",IF($C$4="Educativo (LP)",VLOOKUP($C$4,Param!$A$1:$I$4,MATCH(Flujo!$H$14,Param!$A$1:$I$1,0),0),0))</f>
        <v>0</v>
      </c>
      <c r="I68" s="23">
        <f t="shared" si="6"/>
        <v>120666</v>
      </c>
      <c r="J68" s="23">
        <f t="shared" si="13"/>
        <v>829744.37195902714</v>
      </c>
      <c r="K68" s="23"/>
      <c r="L68" s="28">
        <f t="shared" si="7"/>
        <v>120666</v>
      </c>
    </row>
    <row r="69" spans="2:12" s="15" customFormat="1" ht="15" x14ac:dyDescent="0.25">
      <c r="B69" s="15">
        <f t="shared" si="8"/>
        <v>53</v>
      </c>
      <c r="C69" s="25">
        <f t="shared" si="9"/>
        <v>100531.27508956466</v>
      </c>
      <c r="D69" s="26">
        <f t="shared" si="10"/>
        <v>7384.7249104353414</v>
      </c>
      <c r="E69" s="26">
        <f t="shared" si="11"/>
        <v>7384.7249104353414</v>
      </c>
      <c r="F69" s="46">
        <f t="shared" si="12"/>
        <v>107916</v>
      </c>
      <c r="G69" s="47">
        <f>IF(B69="","",VLOOKUP($C$4,Param!$A:$I,MATCH(Flujo!$G$14,Param!$A$1:$J$1,0),0)*$C$6)</f>
        <v>12750.000000000002</v>
      </c>
      <c r="H69" s="47">
        <f>IF(B69="","",IF($C$4="Educativo (LP)",VLOOKUP($C$4,Param!$A$1:$I$4,MATCH(Flujo!$H$14,Param!$A$1:$I$1,0),0),0))</f>
        <v>0</v>
      </c>
      <c r="I69" s="23">
        <f t="shared" si="6"/>
        <v>120666</v>
      </c>
      <c r="J69" s="23">
        <f t="shared" si="13"/>
        <v>729213.09686946252</v>
      </c>
      <c r="K69" s="23"/>
      <c r="L69" s="28">
        <f t="shared" si="7"/>
        <v>120666</v>
      </c>
    </row>
    <row r="70" spans="2:12" s="15" customFormat="1" ht="15" x14ac:dyDescent="0.25">
      <c r="B70" s="15">
        <f t="shared" si="8"/>
        <v>54</v>
      </c>
      <c r="C70" s="25">
        <f t="shared" si="9"/>
        <v>101426.00343786179</v>
      </c>
      <c r="D70" s="26">
        <f t="shared" si="10"/>
        <v>6489.9965621382162</v>
      </c>
      <c r="E70" s="26">
        <f t="shared" si="11"/>
        <v>6489.9965621382162</v>
      </c>
      <c r="F70" s="46">
        <f t="shared" si="12"/>
        <v>107916</v>
      </c>
      <c r="G70" s="47">
        <f>IF(B70="","",VLOOKUP($C$4,Param!$A:$I,MATCH(Flujo!$G$14,Param!$A$1:$J$1,0),0)*$C$6)</f>
        <v>12750.000000000002</v>
      </c>
      <c r="H70" s="47">
        <f>IF(B70="","",IF($C$4="Educativo (LP)",VLOOKUP($C$4,Param!$A$1:$I$4,MATCH(Flujo!$H$14,Param!$A$1:$I$1,0),0),0))</f>
        <v>0</v>
      </c>
      <c r="I70" s="23">
        <f t="shared" si="6"/>
        <v>120666</v>
      </c>
      <c r="J70" s="23">
        <f t="shared" si="13"/>
        <v>627787.09343160072</v>
      </c>
      <c r="K70" s="23"/>
      <c r="L70" s="28">
        <f t="shared" si="7"/>
        <v>120666</v>
      </c>
    </row>
    <row r="71" spans="2:12" s="15" customFormat="1" ht="15" x14ac:dyDescent="0.25">
      <c r="B71" s="15">
        <f t="shared" si="8"/>
        <v>55</v>
      </c>
      <c r="C71" s="25">
        <f t="shared" si="9"/>
        <v>102328.69486845876</v>
      </c>
      <c r="D71" s="26">
        <f t="shared" si="10"/>
        <v>5587.3051315412467</v>
      </c>
      <c r="E71" s="26">
        <f t="shared" si="11"/>
        <v>5587.3051315412467</v>
      </c>
      <c r="F71" s="46">
        <f t="shared" si="12"/>
        <v>107916</v>
      </c>
      <c r="G71" s="47">
        <f>IF(B71="","",VLOOKUP($C$4,Param!$A:$I,MATCH(Flujo!$G$14,Param!$A$1:$J$1,0),0)*$C$6)</f>
        <v>12750.000000000002</v>
      </c>
      <c r="H71" s="47">
        <f>IF(B71="","",IF($C$4="Educativo (LP)",VLOOKUP($C$4,Param!$A$1:$I$4,MATCH(Flujo!$H$14,Param!$A$1:$I$1,0),0),0))</f>
        <v>0</v>
      </c>
      <c r="I71" s="23">
        <f t="shared" si="6"/>
        <v>120666</v>
      </c>
      <c r="J71" s="23">
        <f t="shared" si="13"/>
        <v>525458.39856314193</v>
      </c>
      <c r="K71" s="23"/>
      <c r="L71" s="28">
        <f t="shared" si="7"/>
        <v>120666</v>
      </c>
    </row>
    <row r="72" spans="2:12" s="15" customFormat="1" ht="15" x14ac:dyDescent="0.25">
      <c r="B72" s="15">
        <f t="shared" si="8"/>
        <v>56</v>
      </c>
      <c r="C72" s="25">
        <f t="shared" si="9"/>
        <v>103239.42025278804</v>
      </c>
      <c r="D72" s="26">
        <f t="shared" si="10"/>
        <v>4676.579747211963</v>
      </c>
      <c r="E72" s="26">
        <f t="shared" si="11"/>
        <v>4676.579747211963</v>
      </c>
      <c r="F72" s="46">
        <f t="shared" si="12"/>
        <v>107916</v>
      </c>
      <c r="G72" s="47">
        <f>IF(B72="","",VLOOKUP($C$4,Param!$A:$I,MATCH(Flujo!$G$14,Param!$A$1:$J$1,0),0)*$C$6)</f>
        <v>12750.000000000002</v>
      </c>
      <c r="H72" s="47">
        <f>IF(B72="","",IF($C$4="Educativo (LP)",VLOOKUP($C$4,Param!$A$1:$I$4,MATCH(Flujo!$H$14,Param!$A$1:$I$1,0),0),0))</f>
        <v>0</v>
      </c>
      <c r="I72" s="23">
        <f t="shared" si="6"/>
        <v>120666</v>
      </c>
      <c r="J72" s="23">
        <f t="shared" si="13"/>
        <v>422218.97831035388</v>
      </c>
      <c r="K72" s="23"/>
      <c r="L72" s="28">
        <f t="shared" si="7"/>
        <v>120666</v>
      </c>
    </row>
    <row r="73" spans="2:12" s="15" customFormat="1" ht="15" x14ac:dyDescent="0.25">
      <c r="B73" s="15">
        <f t="shared" si="8"/>
        <v>57</v>
      </c>
      <c r="C73" s="25">
        <f t="shared" si="9"/>
        <v>104158.25109303785</v>
      </c>
      <c r="D73" s="26">
        <f t="shared" si="10"/>
        <v>3757.7489069621497</v>
      </c>
      <c r="E73" s="26">
        <f t="shared" si="11"/>
        <v>3757.7489069621497</v>
      </c>
      <c r="F73" s="46">
        <f t="shared" si="12"/>
        <v>107916</v>
      </c>
      <c r="G73" s="47">
        <f>IF(B73="","",VLOOKUP($C$4,Param!$A:$I,MATCH(Flujo!$G$14,Param!$A$1:$J$1,0),0)*$C$6)</f>
        <v>12750.000000000002</v>
      </c>
      <c r="H73" s="47">
        <f>IF(B73="","",IF($C$4="Educativo (LP)",VLOOKUP($C$4,Param!$A$1:$I$4,MATCH(Flujo!$H$14,Param!$A$1:$I$1,0),0),0))</f>
        <v>0</v>
      </c>
      <c r="I73" s="23">
        <f t="shared" si="6"/>
        <v>120666</v>
      </c>
      <c r="J73" s="23">
        <f t="shared" si="13"/>
        <v>318060.72721731605</v>
      </c>
      <c r="K73" s="23"/>
      <c r="L73" s="28">
        <f t="shared" si="7"/>
        <v>120666</v>
      </c>
    </row>
    <row r="74" spans="2:12" s="15" customFormat="1" ht="15" x14ac:dyDescent="0.25">
      <c r="B74" s="15">
        <f t="shared" si="8"/>
        <v>58</v>
      </c>
      <c r="C74" s="25">
        <f t="shared" si="9"/>
        <v>105085.25952776588</v>
      </c>
      <c r="D74" s="26">
        <f t="shared" si="10"/>
        <v>2830.740472234113</v>
      </c>
      <c r="E74" s="26">
        <f t="shared" si="11"/>
        <v>2830.740472234113</v>
      </c>
      <c r="F74" s="46">
        <f t="shared" si="12"/>
        <v>107916</v>
      </c>
      <c r="G74" s="47">
        <f>IF(B74="","",VLOOKUP($C$4,Param!$A:$I,MATCH(Flujo!$G$14,Param!$A$1:$J$1,0),0)*$C$6)</f>
        <v>12750.000000000002</v>
      </c>
      <c r="H74" s="47">
        <f>IF(B74="","",IF($C$4="Educativo (LP)",VLOOKUP($C$4,Param!$A$1:$I$4,MATCH(Flujo!$H$14,Param!$A$1:$I$1,0),0),0))</f>
        <v>0</v>
      </c>
      <c r="I74" s="23">
        <f t="shared" si="6"/>
        <v>120666</v>
      </c>
      <c r="J74" s="23">
        <f t="shared" si="13"/>
        <v>212975.46768955016</v>
      </c>
      <c r="K74" s="23"/>
      <c r="L74" s="28">
        <f t="shared" si="7"/>
        <v>120666</v>
      </c>
    </row>
    <row r="75" spans="2:12" s="15" customFormat="1" ht="15" x14ac:dyDescent="0.25">
      <c r="B75" s="15">
        <f t="shared" si="8"/>
        <v>59</v>
      </c>
      <c r="C75" s="25">
        <f t="shared" si="9"/>
        <v>106020.518337563</v>
      </c>
      <c r="D75" s="26">
        <f t="shared" si="10"/>
        <v>1895.4816624369964</v>
      </c>
      <c r="E75" s="26">
        <f t="shared" si="11"/>
        <v>1895.4816624369964</v>
      </c>
      <c r="F75" s="46">
        <f t="shared" si="12"/>
        <v>107916</v>
      </c>
      <c r="G75" s="47">
        <f>IF(B75="","",VLOOKUP($C$4,Param!$A:$I,MATCH(Flujo!$G$14,Param!$A$1:$J$1,0),0)*$C$6)</f>
        <v>12750.000000000002</v>
      </c>
      <c r="H75" s="47">
        <f>IF(B75="","",IF($C$4="Educativo (LP)",VLOOKUP($C$4,Param!$A$1:$I$4,MATCH(Flujo!$H$14,Param!$A$1:$I$1,0),0),0))</f>
        <v>0</v>
      </c>
      <c r="I75" s="23">
        <f t="shared" si="6"/>
        <v>120666</v>
      </c>
      <c r="J75" s="23">
        <f t="shared" si="13"/>
        <v>106954.94935198716</v>
      </c>
      <c r="K75" s="23"/>
      <c r="L75" s="28">
        <f t="shared" si="7"/>
        <v>120666</v>
      </c>
    </row>
    <row r="76" spans="2:12" s="15" customFormat="1" ht="15" x14ac:dyDescent="0.25">
      <c r="B76" s="15">
        <f t="shared" si="8"/>
        <v>60</v>
      </c>
      <c r="C76" s="25">
        <f t="shared" si="9"/>
        <v>106954.94935198716</v>
      </c>
      <c r="D76" s="26">
        <f t="shared" si="10"/>
        <v>951.89904923268568</v>
      </c>
      <c r="E76" s="26">
        <f t="shared" si="11"/>
        <v>951.89904923268568</v>
      </c>
      <c r="F76" s="46">
        <f t="shared" si="12"/>
        <v>107906.84840121985</v>
      </c>
      <c r="G76" s="47">
        <f>IF(B76="","",VLOOKUP($C$4,Param!$A:$I,MATCH(Flujo!$G$14,Param!$A$1:$J$1,0),0)*$C$6)</f>
        <v>12750.000000000002</v>
      </c>
      <c r="H76" s="47">
        <f>IF(B76="","",IF($C$4="Educativo (LP)",VLOOKUP($C$4,Param!$A$1:$I$4,MATCH(Flujo!$H$14,Param!$A$1:$I$1,0),0),0))</f>
        <v>0</v>
      </c>
      <c r="I76" s="23">
        <f t="shared" si="6"/>
        <v>120657</v>
      </c>
      <c r="J76" s="23">
        <f t="shared" si="13"/>
        <v>0</v>
      </c>
      <c r="K76" s="23"/>
      <c r="L76" s="28">
        <f t="shared" si="7"/>
        <v>120656.84840121985</v>
      </c>
    </row>
    <row r="77" spans="2:12" s="15" customFormat="1" ht="15" x14ac:dyDescent="0.25">
      <c r="B77" s="15" t="str">
        <f t="shared" si="8"/>
        <v/>
      </c>
      <c r="C77" s="25" t="str">
        <f t="shared" si="9"/>
        <v/>
      </c>
      <c r="D77" s="26" t="str">
        <f t="shared" si="10"/>
        <v/>
      </c>
      <c r="E77" s="26" t="str">
        <f t="shared" si="11"/>
        <v/>
      </c>
      <c r="F77" s="46" t="str">
        <f t="shared" si="12"/>
        <v/>
      </c>
      <c r="G77" s="47" t="str">
        <f>IF(B77="","",VLOOKUP($C$4,Param!$A:$I,MATCH(Flujo!$G$14,Param!$A$1:$J$1,0),0)*$C$6)</f>
        <v/>
      </c>
      <c r="H77" s="47" t="str">
        <f>IF(B77="","",IF($C$4="Educativo (LP)",VLOOKUP($C$4,Param!$A$1:$I$4,MATCH(Flujo!$H$14,Param!$A$1:$I$1,0),0),0))</f>
        <v/>
      </c>
      <c r="I77" s="23" t="str">
        <f t="shared" si="6"/>
        <v/>
      </c>
      <c r="J77" s="23" t="str">
        <f t="shared" si="13"/>
        <v/>
      </c>
      <c r="K77" s="23"/>
      <c r="L77" s="28">
        <f t="shared" si="7"/>
        <v>0</v>
      </c>
    </row>
    <row r="78" spans="2:12" s="15" customFormat="1" ht="15" x14ac:dyDescent="0.25">
      <c r="B78" s="15" t="str">
        <f t="shared" si="8"/>
        <v/>
      </c>
      <c r="C78" s="25" t="str">
        <f t="shared" si="9"/>
        <v/>
      </c>
      <c r="D78" s="26" t="str">
        <f t="shared" si="10"/>
        <v/>
      </c>
      <c r="E78" s="26" t="str">
        <f t="shared" si="11"/>
        <v/>
      </c>
      <c r="F78" s="46" t="str">
        <f t="shared" si="12"/>
        <v/>
      </c>
      <c r="G78" s="47" t="str">
        <f>IF(B78="","",VLOOKUP($C$4,Param!$A:$I,MATCH(Flujo!$G$14,Param!$A$1:$J$1,0),0)*$C$6)</f>
        <v/>
      </c>
      <c r="H78" s="47" t="str">
        <f>IF(B78="","",IF($C$4="Educativo (LP)",VLOOKUP($C$4,Param!$A$1:$I$4,MATCH(Flujo!$H$14,Param!$A$1:$I$1,0),0),0))</f>
        <v/>
      </c>
      <c r="I78" s="23" t="str">
        <f t="shared" si="6"/>
        <v/>
      </c>
      <c r="J78" s="23" t="str">
        <f t="shared" si="13"/>
        <v/>
      </c>
      <c r="K78" s="23"/>
      <c r="L78" s="28">
        <f t="shared" si="7"/>
        <v>0</v>
      </c>
    </row>
    <row r="79" spans="2:12" s="15" customFormat="1" ht="15" x14ac:dyDescent="0.25">
      <c r="B79" s="15" t="str">
        <f t="shared" si="8"/>
        <v/>
      </c>
      <c r="C79" s="25" t="str">
        <f t="shared" si="9"/>
        <v/>
      </c>
      <c r="D79" s="26" t="str">
        <f t="shared" si="10"/>
        <v/>
      </c>
      <c r="E79" s="26" t="str">
        <f t="shared" si="11"/>
        <v/>
      </c>
      <c r="F79" s="46" t="str">
        <f t="shared" si="12"/>
        <v/>
      </c>
      <c r="G79" s="47" t="str">
        <f>IF(B79="","",VLOOKUP($C$4,Param!$A:$I,MATCH(Flujo!$G$14,Param!$A$1:$J$1,0),0)*$C$6)</f>
        <v/>
      </c>
      <c r="H79" s="47" t="str">
        <f>IF(B79="","",IF($C$4="Educativo (LP)",VLOOKUP($C$4,Param!$A$1:$I$4,MATCH(Flujo!$H$14,Param!$A$1:$I$1,0),0),0))</f>
        <v/>
      </c>
      <c r="I79" s="23" t="str">
        <f t="shared" si="6"/>
        <v/>
      </c>
      <c r="J79" s="23" t="str">
        <f t="shared" si="13"/>
        <v/>
      </c>
      <c r="K79" s="23"/>
      <c r="L79" s="28">
        <f t="shared" si="7"/>
        <v>0</v>
      </c>
    </row>
    <row r="80" spans="2:12" s="15" customFormat="1" ht="15" x14ac:dyDescent="0.25">
      <c r="B80" s="15" t="str">
        <f t="shared" si="8"/>
        <v/>
      </c>
      <c r="C80" s="25" t="str">
        <f t="shared" si="9"/>
        <v/>
      </c>
      <c r="D80" s="26" t="str">
        <f t="shared" si="10"/>
        <v/>
      </c>
      <c r="E80" s="26" t="str">
        <f t="shared" si="11"/>
        <v/>
      </c>
      <c r="F80" s="46" t="str">
        <f t="shared" si="12"/>
        <v/>
      </c>
      <c r="G80" s="47" t="str">
        <f>IF(B80="","",VLOOKUP($C$4,Param!$A:$I,MATCH(Flujo!$G$14,Param!$A$1:$J$1,0),0)*$C$6)</f>
        <v/>
      </c>
      <c r="H80" s="47" t="str">
        <f>IF(B80="","",IF($C$4="Educativo (LP)",VLOOKUP($C$4,Param!$A$1:$I$4,MATCH(Flujo!$H$14,Param!$A$1:$I$1,0),0),0))</f>
        <v/>
      </c>
      <c r="I80" s="23" t="str">
        <f t="shared" si="6"/>
        <v/>
      </c>
      <c r="J80" s="23" t="str">
        <f t="shared" si="13"/>
        <v/>
      </c>
      <c r="K80" s="23"/>
      <c r="L80" s="28">
        <f t="shared" si="7"/>
        <v>0</v>
      </c>
    </row>
    <row r="81" spans="2:12" s="15" customFormat="1" ht="15" x14ac:dyDescent="0.25">
      <c r="B81" s="15" t="str">
        <f t="shared" ref="B81:B112" si="14">IF(B80&gt;=$C$9,"",IF(J80=0,"",B80+1))</f>
        <v/>
      </c>
      <c r="C81" s="25" t="str">
        <f t="shared" ref="C81:C112" si="15">IF(B81="","",IF(B81=$C$9,J80,cuota-D81))</f>
        <v/>
      </c>
      <c r="D81" s="26" t="str">
        <f t="shared" ref="D81:D112" si="16">(IF(J80&lt;0,0,IF(B81&lt;=$C$9,$J80*$C$12,"")))</f>
        <v/>
      </c>
      <c r="E81" s="26" t="str">
        <f t="shared" ref="E81:E112" si="17">IF(B81="","",SUM(D81:D81))</f>
        <v/>
      </c>
      <c r="F81" s="46" t="str">
        <f t="shared" ref="F81:F112" si="18">IF(B81=$C$9,D81+C81,IF(B81="","",cuota))</f>
        <v/>
      </c>
      <c r="G81" s="47" t="str">
        <f>IF(B81="","",VLOOKUP($C$4,Param!$A:$I,MATCH(Flujo!$G$14,Param!$A$1:$J$1,0),0)*$C$6)</f>
        <v/>
      </c>
      <c r="H81" s="47" t="str">
        <f>IF(B81="","",IF($C$4="Educativo (LP)",VLOOKUP($C$4,Param!$A$1:$I$4,MATCH(Flujo!$H$14,Param!$A$1:$I$1,0),0),0))</f>
        <v/>
      </c>
      <c r="I81" s="23" t="str">
        <f t="shared" si="6"/>
        <v/>
      </c>
      <c r="J81" s="23" t="str">
        <f t="shared" ref="J81:J112" si="19">IF(B81&lt;=$C$9,(J80-C81),"")</f>
        <v/>
      </c>
      <c r="K81" s="23"/>
      <c r="L81" s="28">
        <f t="shared" si="7"/>
        <v>0</v>
      </c>
    </row>
    <row r="82" spans="2:12" s="15" customFormat="1" ht="15" x14ac:dyDescent="0.25">
      <c r="B82" s="15" t="str">
        <f t="shared" si="14"/>
        <v/>
      </c>
      <c r="C82" s="25" t="str">
        <f t="shared" si="15"/>
        <v/>
      </c>
      <c r="D82" s="26" t="str">
        <f t="shared" si="16"/>
        <v/>
      </c>
      <c r="E82" s="26" t="str">
        <f t="shared" si="17"/>
        <v/>
      </c>
      <c r="F82" s="46" t="str">
        <f t="shared" si="18"/>
        <v/>
      </c>
      <c r="G82" s="47" t="str">
        <f>IF(B82="","",VLOOKUP($C$4,Param!$A:$I,MATCH(Flujo!$G$14,Param!$A$1:$J$1,0),0)*$C$6)</f>
        <v/>
      </c>
      <c r="H82" s="47" t="str">
        <f>IF(B82="","",IF($C$4="Educativo (LP)",VLOOKUP($C$4,Param!$A$1:$I$4,MATCH(Flujo!$H$14,Param!$A$1:$I$1,0),0),0))</f>
        <v/>
      </c>
      <c r="I82" s="23" t="str">
        <f t="shared" ref="I82:I136" si="20">IF($B82&lt;=$C$9,ROUND(F82+G82,0),"")</f>
        <v/>
      </c>
      <c r="J82" s="23" t="str">
        <f t="shared" si="19"/>
        <v/>
      </c>
      <c r="K82" s="23"/>
      <c r="L82" s="28">
        <f t="shared" ref="L82:L136" si="21">SUM(F82:H82)+K82</f>
        <v>0</v>
      </c>
    </row>
    <row r="83" spans="2:12" s="15" customFormat="1" ht="15" x14ac:dyDescent="0.25">
      <c r="B83" s="15" t="str">
        <f t="shared" si="14"/>
        <v/>
      </c>
      <c r="C83" s="25" t="str">
        <f t="shared" si="15"/>
        <v/>
      </c>
      <c r="D83" s="26" t="str">
        <f t="shared" si="16"/>
        <v/>
      </c>
      <c r="E83" s="26" t="str">
        <f t="shared" si="17"/>
        <v/>
      </c>
      <c r="F83" s="46" t="str">
        <f t="shared" si="18"/>
        <v/>
      </c>
      <c r="G83" s="47" t="str">
        <f>IF(B83="","",VLOOKUP($C$4,Param!$A:$I,MATCH(Flujo!$G$14,Param!$A$1:$J$1,0),0)*$C$6)</f>
        <v/>
      </c>
      <c r="H83" s="47" t="str">
        <f>IF(B83="","",IF($C$4="Educativo (LP)",VLOOKUP($C$4,Param!$A$1:$I$4,MATCH(Flujo!$H$14,Param!$A$1:$I$1,0),0),0))</f>
        <v/>
      </c>
      <c r="I83" s="23" t="str">
        <f t="shared" si="20"/>
        <v/>
      </c>
      <c r="J83" s="23" t="str">
        <f t="shared" si="19"/>
        <v/>
      </c>
      <c r="K83" s="23"/>
      <c r="L83" s="28">
        <f t="shared" si="21"/>
        <v>0</v>
      </c>
    </row>
    <row r="84" spans="2:12" s="15" customFormat="1" ht="15" x14ac:dyDescent="0.25">
      <c r="B84" s="15" t="str">
        <f t="shared" si="14"/>
        <v/>
      </c>
      <c r="C84" s="25" t="str">
        <f t="shared" si="15"/>
        <v/>
      </c>
      <c r="D84" s="26" t="str">
        <f t="shared" si="16"/>
        <v/>
      </c>
      <c r="E84" s="26" t="str">
        <f t="shared" si="17"/>
        <v/>
      </c>
      <c r="F84" s="46" t="str">
        <f t="shared" si="18"/>
        <v/>
      </c>
      <c r="G84" s="47" t="str">
        <f>IF(B84="","",VLOOKUP($C$4,Param!$A:$I,MATCH(Flujo!$G$14,Param!$A$1:$J$1,0),0)*$C$6)</f>
        <v/>
      </c>
      <c r="H84" s="47" t="str">
        <f>IF(B84="","",IF($C$4="Educativo (LP)",VLOOKUP($C$4,Param!$A$1:$I$4,MATCH(Flujo!$H$14,Param!$A$1:$I$1,0),0),0))</f>
        <v/>
      </c>
      <c r="I84" s="23" t="str">
        <f t="shared" si="20"/>
        <v/>
      </c>
      <c r="J84" s="23" t="str">
        <f t="shared" si="19"/>
        <v/>
      </c>
      <c r="K84" s="23"/>
      <c r="L84" s="28">
        <f t="shared" si="21"/>
        <v>0</v>
      </c>
    </row>
    <row r="85" spans="2:12" s="15" customFormat="1" ht="15" x14ac:dyDescent="0.25">
      <c r="B85" s="15" t="str">
        <f t="shared" si="14"/>
        <v/>
      </c>
      <c r="C85" s="25" t="str">
        <f t="shared" si="15"/>
        <v/>
      </c>
      <c r="D85" s="26" t="str">
        <f t="shared" si="16"/>
        <v/>
      </c>
      <c r="E85" s="26" t="str">
        <f t="shared" si="17"/>
        <v/>
      </c>
      <c r="F85" s="46" t="str">
        <f t="shared" si="18"/>
        <v/>
      </c>
      <c r="G85" s="47" t="str">
        <f>IF(B85="","",VLOOKUP($C$4,Param!$A:$I,MATCH(Flujo!$G$14,Param!$A$1:$J$1,0),0)*$C$6)</f>
        <v/>
      </c>
      <c r="H85" s="47" t="str">
        <f>IF(B85="","",IF($C$4="Educativo (LP)",VLOOKUP($C$4,Param!$A$1:$I$4,MATCH(Flujo!$H$14,Param!$A$1:$I$1,0),0),0))</f>
        <v/>
      </c>
      <c r="I85" s="23" t="str">
        <f t="shared" si="20"/>
        <v/>
      </c>
      <c r="J85" s="23" t="str">
        <f t="shared" si="19"/>
        <v/>
      </c>
      <c r="K85" s="23"/>
      <c r="L85" s="28">
        <f t="shared" si="21"/>
        <v>0</v>
      </c>
    </row>
    <row r="86" spans="2:12" s="15" customFormat="1" ht="15" x14ac:dyDescent="0.25">
      <c r="B86" s="15" t="str">
        <f t="shared" si="14"/>
        <v/>
      </c>
      <c r="C86" s="25" t="str">
        <f t="shared" si="15"/>
        <v/>
      </c>
      <c r="D86" s="26" t="str">
        <f t="shared" si="16"/>
        <v/>
      </c>
      <c r="E86" s="26" t="str">
        <f t="shared" si="17"/>
        <v/>
      </c>
      <c r="F86" s="46" t="str">
        <f t="shared" si="18"/>
        <v/>
      </c>
      <c r="G86" s="47" t="str">
        <f>IF(B86="","",VLOOKUP($C$4,Param!$A:$I,MATCH(Flujo!$G$14,Param!$A$1:$J$1,0),0)*$C$6)</f>
        <v/>
      </c>
      <c r="H86" s="47" t="str">
        <f>IF(B86="","",IF($C$4="Educativo (LP)",VLOOKUP($C$4,Param!$A$1:$I$4,MATCH(Flujo!$H$14,Param!$A$1:$I$1,0),0),0))</f>
        <v/>
      </c>
      <c r="I86" s="23" t="str">
        <f t="shared" si="20"/>
        <v/>
      </c>
      <c r="J86" s="23" t="str">
        <f t="shared" si="19"/>
        <v/>
      </c>
      <c r="K86" s="23"/>
      <c r="L86" s="28">
        <f t="shared" si="21"/>
        <v>0</v>
      </c>
    </row>
    <row r="87" spans="2:12" s="15" customFormat="1" ht="15" x14ac:dyDescent="0.25">
      <c r="B87" s="15" t="str">
        <f t="shared" si="14"/>
        <v/>
      </c>
      <c r="C87" s="25" t="str">
        <f t="shared" si="15"/>
        <v/>
      </c>
      <c r="D87" s="26" t="str">
        <f t="shared" si="16"/>
        <v/>
      </c>
      <c r="E87" s="26" t="str">
        <f t="shared" si="17"/>
        <v/>
      </c>
      <c r="F87" s="46" t="str">
        <f t="shared" si="18"/>
        <v/>
      </c>
      <c r="G87" s="47" t="str">
        <f>IF(B87="","",VLOOKUP($C$4,Param!$A:$I,MATCH(Flujo!$G$14,Param!$A$1:$J$1,0),0)*$C$6)</f>
        <v/>
      </c>
      <c r="H87" s="47" t="str">
        <f>IF(B87="","",IF($C$4="Educativo (LP)",VLOOKUP($C$4,Param!$A$1:$I$4,MATCH(Flujo!$H$14,Param!$A$1:$I$1,0),0),0))</f>
        <v/>
      </c>
      <c r="I87" s="23" t="str">
        <f t="shared" si="20"/>
        <v/>
      </c>
      <c r="J87" s="23" t="str">
        <f t="shared" si="19"/>
        <v/>
      </c>
      <c r="K87" s="23"/>
      <c r="L87" s="28">
        <f t="shared" si="21"/>
        <v>0</v>
      </c>
    </row>
    <row r="88" spans="2:12" s="15" customFormat="1" ht="15" x14ac:dyDescent="0.25">
      <c r="B88" s="15" t="str">
        <f t="shared" si="14"/>
        <v/>
      </c>
      <c r="C88" s="25" t="str">
        <f t="shared" si="15"/>
        <v/>
      </c>
      <c r="D88" s="26" t="str">
        <f t="shared" si="16"/>
        <v/>
      </c>
      <c r="E88" s="26" t="str">
        <f t="shared" si="17"/>
        <v/>
      </c>
      <c r="F88" s="46" t="str">
        <f t="shared" si="18"/>
        <v/>
      </c>
      <c r="G88" s="47" t="str">
        <f>IF(B88="","",VLOOKUP($C$4,Param!$A:$I,MATCH(Flujo!$G$14,Param!$A$1:$J$1,0),0)*$C$6)</f>
        <v/>
      </c>
      <c r="H88" s="47" t="str">
        <f>IF(B88="","",IF($C$4="Educativo (LP)",VLOOKUP($C$4,Param!$A$1:$I$4,MATCH(Flujo!$H$14,Param!$A$1:$I$1,0),0),0))</f>
        <v/>
      </c>
      <c r="I88" s="23" t="str">
        <f t="shared" si="20"/>
        <v/>
      </c>
      <c r="J88" s="23" t="str">
        <f t="shared" si="19"/>
        <v/>
      </c>
      <c r="K88" s="23"/>
      <c r="L88" s="28">
        <f t="shared" si="21"/>
        <v>0</v>
      </c>
    </row>
    <row r="89" spans="2:12" s="15" customFormat="1" ht="15" x14ac:dyDescent="0.25">
      <c r="B89" s="15" t="str">
        <f t="shared" si="14"/>
        <v/>
      </c>
      <c r="C89" s="25" t="str">
        <f t="shared" si="15"/>
        <v/>
      </c>
      <c r="D89" s="26" t="str">
        <f t="shared" si="16"/>
        <v/>
      </c>
      <c r="E89" s="26" t="str">
        <f t="shared" si="17"/>
        <v/>
      </c>
      <c r="F89" s="46" t="str">
        <f t="shared" si="18"/>
        <v/>
      </c>
      <c r="G89" s="47" t="str">
        <f>IF(B89="","",VLOOKUP($C$4,Param!$A:$I,MATCH(Flujo!$G$14,Param!$A$1:$J$1,0),0)*$C$6)</f>
        <v/>
      </c>
      <c r="H89" s="47" t="str">
        <f>IF(B89="","",IF($C$4="Educativo (LP)",VLOOKUP($C$4,Param!$A$1:$I$4,MATCH(Flujo!$H$14,Param!$A$1:$I$1,0),0),0))</f>
        <v/>
      </c>
      <c r="I89" s="23" t="str">
        <f t="shared" si="20"/>
        <v/>
      </c>
      <c r="J89" s="23" t="str">
        <f t="shared" si="19"/>
        <v/>
      </c>
      <c r="K89" s="23"/>
      <c r="L89" s="28">
        <f t="shared" si="21"/>
        <v>0</v>
      </c>
    </row>
    <row r="90" spans="2:12" s="15" customFormat="1" ht="15" x14ac:dyDescent="0.25">
      <c r="B90" s="15" t="str">
        <f t="shared" si="14"/>
        <v/>
      </c>
      <c r="C90" s="25" t="str">
        <f t="shared" si="15"/>
        <v/>
      </c>
      <c r="D90" s="26" t="str">
        <f t="shared" si="16"/>
        <v/>
      </c>
      <c r="E90" s="26" t="str">
        <f t="shared" si="17"/>
        <v/>
      </c>
      <c r="F90" s="46" t="str">
        <f t="shared" si="18"/>
        <v/>
      </c>
      <c r="G90" s="47" t="str">
        <f>IF(B90="","",VLOOKUP($C$4,Param!$A:$I,MATCH(Flujo!$G$14,Param!$A$1:$J$1,0),0)*$C$6)</f>
        <v/>
      </c>
      <c r="H90" s="47" t="str">
        <f>IF(B90="","",IF($C$4="Educativo (LP)",VLOOKUP($C$4,Param!$A$1:$I$4,MATCH(Flujo!$H$14,Param!$A$1:$I$1,0),0),0))</f>
        <v/>
      </c>
      <c r="I90" s="23" t="str">
        <f t="shared" si="20"/>
        <v/>
      </c>
      <c r="J90" s="23" t="str">
        <f t="shared" si="19"/>
        <v/>
      </c>
      <c r="K90" s="23"/>
      <c r="L90" s="28">
        <f t="shared" si="21"/>
        <v>0</v>
      </c>
    </row>
    <row r="91" spans="2:12" s="15" customFormat="1" ht="15" x14ac:dyDescent="0.25">
      <c r="B91" s="15" t="str">
        <f t="shared" si="14"/>
        <v/>
      </c>
      <c r="C91" s="25" t="str">
        <f t="shared" si="15"/>
        <v/>
      </c>
      <c r="D91" s="26" t="str">
        <f t="shared" si="16"/>
        <v/>
      </c>
      <c r="E91" s="26" t="str">
        <f t="shared" si="17"/>
        <v/>
      </c>
      <c r="F91" s="46" t="str">
        <f t="shared" si="18"/>
        <v/>
      </c>
      <c r="G91" s="47" t="str">
        <f>IF(B91="","",VLOOKUP($C$4,Param!$A:$I,MATCH(Flujo!$G$14,Param!$A$1:$J$1,0),0)*$C$6)</f>
        <v/>
      </c>
      <c r="H91" s="47" t="str">
        <f>IF(B91="","",IF($C$4="Educativo (LP)",VLOOKUP($C$4,Param!$A$1:$I$4,MATCH(Flujo!$H$14,Param!$A$1:$I$1,0),0),0))</f>
        <v/>
      </c>
      <c r="I91" s="23" t="str">
        <f t="shared" si="20"/>
        <v/>
      </c>
      <c r="J91" s="23" t="str">
        <f t="shared" si="19"/>
        <v/>
      </c>
      <c r="K91" s="23"/>
      <c r="L91" s="28">
        <f t="shared" si="21"/>
        <v>0</v>
      </c>
    </row>
    <row r="92" spans="2:12" s="15" customFormat="1" ht="15" x14ac:dyDescent="0.25">
      <c r="B92" s="15" t="str">
        <f t="shared" si="14"/>
        <v/>
      </c>
      <c r="C92" s="25" t="str">
        <f t="shared" si="15"/>
        <v/>
      </c>
      <c r="D92" s="26" t="str">
        <f t="shared" si="16"/>
        <v/>
      </c>
      <c r="E92" s="26" t="str">
        <f t="shared" si="17"/>
        <v/>
      </c>
      <c r="F92" s="46" t="str">
        <f t="shared" si="18"/>
        <v/>
      </c>
      <c r="G92" s="47" t="str">
        <f>IF(B92="","",VLOOKUP($C$4,Param!$A:$I,MATCH(Flujo!$G$14,Param!$A$1:$J$1,0),0)*$C$6)</f>
        <v/>
      </c>
      <c r="H92" s="47" t="str">
        <f>IF(B92="","",IF($C$4="Educativo (LP)",VLOOKUP($C$4,Param!$A$1:$I$4,MATCH(Flujo!$H$14,Param!$A$1:$I$1,0),0),0))</f>
        <v/>
      </c>
      <c r="I92" s="23" t="str">
        <f t="shared" si="20"/>
        <v/>
      </c>
      <c r="J92" s="23" t="str">
        <f t="shared" si="19"/>
        <v/>
      </c>
      <c r="K92" s="23"/>
      <c r="L92" s="28">
        <f t="shared" si="21"/>
        <v>0</v>
      </c>
    </row>
    <row r="93" spans="2:12" s="15" customFormat="1" ht="15" x14ac:dyDescent="0.25">
      <c r="B93" s="15" t="str">
        <f t="shared" si="14"/>
        <v/>
      </c>
      <c r="C93" s="25" t="str">
        <f t="shared" si="15"/>
        <v/>
      </c>
      <c r="D93" s="26" t="str">
        <f t="shared" si="16"/>
        <v/>
      </c>
      <c r="E93" s="26" t="str">
        <f t="shared" si="17"/>
        <v/>
      </c>
      <c r="F93" s="46" t="str">
        <f t="shared" si="18"/>
        <v/>
      </c>
      <c r="G93" s="47" t="str">
        <f>IF(B93="","",VLOOKUP($C$4,Param!$A:$I,MATCH(Flujo!$G$14,Param!$A$1:$J$1,0),0)*$C$6)</f>
        <v/>
      </c>
      <c r="H93" s="47" t="str">
        <f>IF(B93="","",IF($C$4="Educativo (LP)",VLOOKUP($C$4,Param!$A$1:$I$4,MATCH(Flujo!$H$14,Param!$A$1:$I$1,0),0),0))</f>
        <v/>
      </c>
      <c r="I93" s="23" t="str">
        <f t="shared" si="20"/>
        <v/>
      </c>
      <c r="J93" s="23" t="str">
        <f t="shared" si="19"/>
        <v/>
      </c>
      <c r="K93" s="23"/>
      <c r="L93" s="28">
        <f t="shared" si="21"/>
        <v>0</v>
      </c>
    </row>
    <row r="94" spans="2:12" s="15" customFormat="1" ht="15" x14ac:dyDescent="0.25">
      <c r="B94" s="15" t="str">
        <f t="shared" si="14"/>
        <v/>
      </c>
      <c r="C94" s="25" t="str">
        <f t="shared" si="15"/>
        <v/>
      </c>
      <c r="D94" s="26" t="str">
        <f t="shared" si="16"/>
        <v/>
      </c>
      <c r="E94" s="26" t="str">
        <f t="shared" si="17"/>
        <v/>
      </c>
      <c r="F94" s="46" t="str">
        <f t="shared" si="18"/>
        <v/>
      </c>
      <c r="G94" s="47" t="str">
        <f>IF(B94="","",VLOOKUP($C$4,Param!$A:$I,MATCH(Flujo!$G$14,Param!$A$1:$J$1,0),0)*$C$6)</f>
        <v/>
      </c>
      <c r="H94" s="47" t="str">
        <f>IF(B94="","",IF($C$4="Educativo (LP)",VLOOKUP($C$4,Param!$A$1:$I$4,MATCH(Flujo!$H$14,Param!$A$1:$I$1,0),0),0))</f>
        <v/>
      </c>
      <c r="I94" s="23" t="str">
        <f t="shared" si="20"/>
        <v/>
      </c>
      <c r="J94" s="23" t="str">
        <f t="shared" si="19"/>
        <v/>
      </c>
      <c r="K94" s="23"/>
      <c r="L94" s="28">
        <f t="shared" si="21"/>
        <v>0</v>
      </c>
    </row>
    <row r="95" spans="2:12" s="15" customFormat="1" ht="15" x14ac:dyDescent="0.25">
      <c r="B95" s="15" t="str">
        <f t="shared" si="14"/>
        <v/>
      </c>
      <c r="C95" s="25" t="str">
        <f t="shared" si="15"/>
        <v/>
      </c>
      <c r="D95" s="26" t="str">
        <f t="shared" si="16"/>
        <v/>
      </c>
      <c r="E95" s="26" t="str">
        <f t="shared" si="17"/>
        <v/>
      </c>
      <c r="F95" s="46" t="str">
        <f t="shared" si="18"/>
        <v/>
      </c>
      <c r="G95" s="47" t="str">
        <f>IF(B95="","",VLOOKUP($C$4,Param!$A:$I,MATCH(Flujo!$G$14,Param!$A$1:$J$1,0),0)*$C$6)</f>
        <v/>
      </c>
      <c r="H95" s="47" t="str">
        <f>IF(B95="","",IF($C$4="Educativo (LP)",VLOOKUP($C$4,Param!$A$1:$I$4,MATCH(Flujo!$H$14,Param!$A$1:$I$1,0),0),0))</f>
        <v/>
      </c>
      <c r="I95" s="23" t="str">
        <f t="shared" si="20"/>
        <v/>
      </c>
      <c r="J95" s="23" t="str">
        <f t="shared" si="19"/>
        <v/>
      </c>
      <c r="K95" s="23"/>
      <c r="L95" s="28">
        <f t="shared" si="21"/>
        <v>0</v>
      </c>
    </row>
    <row r="96" spans="2:12" s="15" customFormat="1" ht="15" x14ac:dyDescent="0.25">
      <c r="B96" s="15" t="str">
        <f t="shared" si="14"/>
        <v/>
      </c>
      <c r="C96" s="25" t="str">
        <f t="shared" si="15"/>
        <v/>
      </c>
      <c r="D96" s="26" t="str">
        <f t="shared" si="16"/>
        <v/>
      </c>
      <c r="E96" s="26" t="str">
        <f t="shared" si="17"/>
        <v/>
      </c>
      <c r="F96" s="46" t="str">
        <f t="shared" si="18"/>
        <v/>
      </c>
      <c r="G96" s="47" t="str">
        <f>IF(B96="","",VLOOKUP($C$4,Param!$A:$I,MATCH(Flujo!$G$14,Param!$A$1:$J$1,0),0)*$C$6)</f>
        <v/>
      </c>
      <c r="H96" s="47" t="str">
        <f>IF(B96="","",IF($C$4="Educativo (LP)",VLOOKUP($C$4,Param!$A$1:$I$4,MATCH(Flujo!$H$14,Param!$A$1:$I$1,0),0),0))</f>
        <v/>
      </c>
      <c r="I96" s="23" t="str">
        <f t="shared" si="20"/>
        <v/>
      </c>
      <c r="J96" s="23" t="str">
        <f t="shared" si="19"/>
        <v/>
      </c>
      <c r="K96" s="23"/>
      <c r="L96" s="28">
        <f t="shared" si="21"/>
        <v>0</v>
      </c>
    </row>
    <row r="97" spans="2:12" s="15" customFormat="1" ht="15" x14ac:dyDescent="0.25">
      <c r="B97" s="15" t="str">
        <f t="shared" si="14"/>
        <v/>
      </c>
      <c r="C97" s="25" t="str">
        <f t="shared" si="15"/>
        <v/>
      </c>
      <c r="D97" s="26" t="str">
        <f t="shared" si="16"/>
        <v/>
      </c>
      <c r="E97" s="26" t="str">
        <f t="shared" si="17"/>
        <v/>
      </c>
      <c r="F97" s="46" t="str">
        <f t="shared" si="18"/>
        <v/>
      </c>
      <c r="G97" s="47" t="str">
        <f>IF(B97="","",VLOOKUP($C$4,Param!$A:$I,MATCH(Flujo!$G$14,Param!$A$1:$J$1,0),0)*$C$6)</f>
        <v/>
      </c>
      <c r="H97" s="47" t="str">
        <f>IF(B97="","",IF($C$4="Educativo (LP)",VLOOKUP($C$4,Param!$A$1:$I$4,MATCH(Flujo!$H$14,Param!$A$1:$I$1,0),0),0))</f>
        <v/>
      </c>
      <c r="I97" s="23" t="str">
        <f t="shared" si="20"/>
        <v/>
      </c>
      <c r="J97" s="23" t="str">
        <f t="shared" si="19"/>
        <v/>
      </c>
      <c r="K97" s="23"/>
      <c r="L97" s="28">
        <f t="shared" si="21"/>
        <v>0</v>
      </c>
    </row>
    <row r="98" spans="2:12" s="15" customFormat="1" ht="15" x14ac:dyDescent="0.25">
      <c r="B98" s="15" t="str">
        <f t="shared" si="14"/>
        <v/>
      </c>
      <c r="C98" s="25" t="str">
        <f t="shared" si="15"/>
        <v/>
      </c>
      <c r="D98" s="26" t="str">
        <f t="shared" si="16"/>
        <v/>
      </c>
      <c r="E98" s="26" t="str">
        <f t="shared" si="17"/>
        <v/>
      </c>
      <c r="F98" s="46" t="str">
        <f t="shared" si="18"/>
        <v/>
      </c>
      <c r="G98" s="47" t="str">
        <f>IF(B98="","",VLOOKUP($C$4,Param!$A:$I,MATCH(Flujo!$G$14,Param!$A$1:$J$1,0),0)*$C$6)</f>
        <v/>
      </c>
      <c r="H98" s="47" t="str">
        <f>IF(B98="","",IF($C$4="Educativo (LP)",VLOOKUP($C$4,Param!$A$1:$I$4,MATCH(Flujo!$H$14,Param!$A$1:$I$1,0),0),0))</f>
        <v/>
      </c>
      <c r="I98" s="23" t="str">
        <f t="shared" si="20"/>
        <v/>
      </c>
      <c r="J98" s="23" t="str">
        <f t="shared" si="19"/>
        <v/>
      </c>
      <c r="K98" s="23"/>
      <c r="L98" s="28">
        <f t="shared" si="21"/>
        <v>0</v>
      </c>
    </row>
    <row r="99" spans="2:12" s="15" customFormat="1" ht="15" x14ac:dyDescent="0.25">
      <c r="B99" s="15" t="str">
        <f t="shared" si="14"/>
        <v/>
      </c>
      <c r="C99" s="25" t="str">
        <f t="shared" si="15"/>
        <v/>
      </c>
      <c r="D99" s="26" t="str">
        <f t="shared" si="16"/>
        <v/>
      </c>
      <c r="E99" s="26" t="str">
        <f t="shared" si="17"/>
        <v/>
      </c>
      <c r="F99" s="46" t="str">
        <f t="shared" si="18"/>
        <v/>
      </c>
      <c r="G99" s="47" t="str">
        <f>IF(B99="","",VLOOKUP($C$4,Param!$A:$I,MATCH(Flujo!$G$14,Param!$A$1:$J$1,0),0)*$C$6)</f>
        <v/>
      </c>
      <c r="H99" s="47" t="str">
        <f>IF(B99="","",IF($C$4="Educativo (LP)",VLOOKUP($C$4,Param!$A$1:$I$4,MATCH(Flujo!$H$14,Param!$A$1:$I$1,0),0),0))</f>
        <v/>
      </c>
      <c r="I99" s="23" t="str">
        <f t="shared" si="20"/>
        <v/>
      </c>
      <c r="J99" s="23" t="str">
        <f t="shared" si="19"/>
        <v/>
      </c>
      <c r="K99" s="23"/>
      <c r="L99" s="28">
        <f t="shared" si="21"/>
        <v>0</v>
      </c>
    </row>
    <row r="100" spans="2:12" s="15" customFormat="1" ht="15" x14ac:dyDescent="0.25">
      <c r="B100" s="15" t="str">
        <f t="shared" si="14"/>
        <v/>
      </c>
      <c r="C100" s="25" t="str">
        <f t="shared" si="15"/>
        <v/>
      </c>
      <c r="D100" s="26" t="str">
        <f t="shared" si="16"/>
        <v/>
      </c>
      <c r="E100" s="26" t="str">
        <f t="shared" si="17"/>
        <v/>
      </c>
      <c r="F100" s="46" t="str">
        <f t="shared" si="18"/>
        <v/>
      </c>
      <c r="G100" s="47" t="str">
        <f>IF(B100="","",VLOOKUP($C$4,Param!$A:$I,MATCH(Flujo!$G$14,Param!$A$1:$J$1,0),0)*$C$6)</f>
        <v/>
      </c>
      <c r="H100" s="47" t="str">
        <f>IF(B100="","",IF($C$4="Educativo (LP)",VLOOKUP($C$4,Param!$A$1:$I$4,MATCH(Flujo!$H$14,Param!$A$1:$I$1,0),0),0))</f>
        <v/>
      </c>
      <c r="I100" s="23" t="str">
        <f t="shared" si="20"/>
        <v/>
      </c>
      <c r="J100" s="23" t="str">
        <f t="shared" si="19"/>
        <v/>
      </c>
      <c r="K100" s="23"/>
      <c r="L100" s="28">
        <f t="shared" si="21"/>
        <v>0</v>
      </c>
    </row>
    <row r="101" spans="2:12" s="15" customFormat="1" ht="15" x14ac:dyDescent="0.25">
      <c r="B101" s="15" t="str">
        <f t="shared" si="14"/>
        <v/>
      </c>
      <c r="C101" s="25" t="str">
        <f t="shared" si="15"/>
        <v/>
      </c>
      <c r="D101" s="26" t="str">
        <f t="shared" si="16"/>
        <v/>
      </c>
      <c r="E101" s="26" t="str">
        <f t="shared" si="17"/>
        <v/>
      </c>
      <c r="F101" s="46" t="str">
        <f t="shared" si="18"/>
        <v/>
      </c>
      <c r="G101" s="47" t="str">
        <f>IF(B101="","",VLOOKUP($C$4,Param!$A:$I,MATCH(Flujo!$G$14,Param!$A$1:$J$1,0),0)*$C$6)</f>
        <v/>
      </c>
      <c r="H101" s="47" t="str">
        <f>IF(B101="","",IF($C$4="Educativo (LP)",VLOOKUP($C$4,Param!$A$1:$I$4,MATCH(Flujo!$H$14,Param!$A$1:$I$1,0),0),0))</f>
        <v/>
      </c>
      <c r="I101" s="23" t="str">
        <f t="shared" si="20"/>
        <v/>
      </c>
      <c r="J101" s="23" t="str">
        <f t="shared" si="19"/>
        <v/>
      </c>
      <c r="K101" s="23"/>
      <c r="L101" s="28">
        <f t="shared" si="21"/>
        <v>0</v>
      </c>
    </row>
    <row r="102" spans="2:12" s="15" customFormat="1" ht="15" x14ac:dyDescent="0.25">
      <c r="B102" s="15" t="str">
        <f t="shared" si="14"/>
        <v/>
      </c>
      <c r="C102" s="25" t="str">
        <f t="shared" si="15"/>
        <v/>
      </c>
      <c r="D102" s="26" t="str">
        <f t="shared" si="16"/>
        <v/>
      </c>
      <c r="E102" s="26" t="str">
        <f t="shared" si="17"/>
        <v/>
      </c>
      <c r="F102" s="46" t="str">
        <f t="shared" si="18"/>
        <v/>
      </c>
      <c r="G102" s="47" t="str">
        <f>IF(B102="","",VLOOKUP($C$4,Param!$A:$I,MATCH(Flujo!$G$14,Param!$A$1:$J$1,0),0)*$C$6)</f>
        <v/>
      </c>
      <c r="H102" s="47" t="str">
        <f>IF(B102="","",IF($C$4="Educativo (LP)",VLOOKUP($C$4,Param!$A$1:$I$4,MATCH(Flujo!$H$14,Param!$A$1:$I$1,0),0),0))</f>
        <v/>
      </c>
      <c r="I102" s="23" t="str">
        <f t="shared" si="20"/>
        <v/>
      </c>
      <c r="J102" s="23" t="str">
        <f t="shared" si="19"/>
        <v/>
      </c>
      <c r="K102" s="23"/>
      <c r="L102" s="28">
        <f t="shared" si="21"/>
        <v>0</v>
      </c>
    </row>
    <row r="103" spans="2:12" s="15" customFormat="1" ht="15" x14ac:dyDescent="0.25">
      <c r="B103" s="15" t="str">
        <f t="shared" si="14"/>
        <v/>
      </c>
      <c r="C103" s="25" t="str">
        <f t="shared" si="15"/>
        <v/>
      </c>
      <c r="D103" s="26" t="str">
        <f t="shared" si="16"/>
        <v/>
      </c>
      <c r="E103" s="26" t="str">
        <f t="shared" si="17"/>
        <v/>
      </c>
      <c r="F103" s="46" t="str">
        <f t="shared" si="18"/>
        <v/>
      </c>
      <c r="G103" s="47" t="str">
        <f>IF(B103="","",VLOOKUP($C$4,Param!$A:$I,MATCH(Flujo!$G$14,Param!$A$1:$J$1,0),0)*$C$6)</f>
        <v/>
      </c>
      <c r="H103" s="47" t="str">
        <f>IF(B103="","",IF($C$4="Educativo (LP)",VLOOKUP($C$4,Param!$A$1:$I$4,MATCH(Flujo!$H$14,Param!$A$1:$I$1,0),0),0))</f>
        <v/>
      </c>
      <c r="I103" s="23" t="str">
        <f t="shared" si="20"/>
        <v/>
      </c>
      <c r="J103" s="23" t="str">
        <f t="shared" si="19"/>
        <v/>
      </c>
      <c r="K103" s="23"/>
      <c r="L103" s="28">
        <f t="shared" si="21"/>
        <v>0</v>
      </c>
    </row>
    <row r="104" spans="2:12" s="15" customFormat="1" ht="15" x14ac:dyDescent="0.25">
      <c r="B104" s="15" t="str">
        <f t="shared" si="14"/>
        <v/>
      </c>
      <c r="C104" s="25" t="str">
        <f t="shared" si="15"/>
        <v/>
      </c>
      <c r="D104" s="26" t="str">
        <f t="shared" si="16"/>
        <v/>
      </c>
      <c r="E104" s="26" t="str">
        <f t="shared" si="17"/>
        <v/>
      </c>
      <c r="F104" s="46" t="str">
        <f t="shared" si="18"/>
        <v/>
      </c>
      <c r="G104" s="47" t="str">
        <f>IF(B104="","",VLOOKUP($C$4,Param!$A:$I,MATCH(Flujo!$G$14,Param!$A$1:$J$1,0),0)*$C$6)</f>
        <v/>
      </c>
      <c r="H104" s="47" t="str">
        <f>IF(B104="","",IF($C$4="Educativo (LP)",VLOOKUP($C$4,Param!$A$1:$I$4,MATCH(Flujo!$H$14,Param!$A$1:$I$1,0),0),0))</f>
        <v/>
      </c>
      <c r="I104" s="23" t="str">
        <f t="shared" si="20"/>
        <v/>
      </c>
      <c r="J104" s="23" t="str">
        <f t="shared" si="19"/>
        <v/>
      </c>
      <c r="K104" s="23"/>
      <c r="L104" s="28">
        <f t="shared" si="21"/>
        <v>0</v>
      </c>
    </row>
    <row r="105" spans="2:12" s="15" customFormat="1" ht="15" x14ac:dyDescent="0.25">
      <c r="B105" s="15" t="str">
        <f t="shared" si="14"/>
        <v/>
      </c>
      <c r="C105" s="25" t="str">
        <f t="shared" si="15"/>
        <v/>
      </c>
      <c r="D105" s="26" t="str">
        <f t="shared" si="16"/>
        <v/>
      </c>
      <c r="E105" s="26" t="str">
        <f t="shared" si="17"/>
        <v/>
      </c>
      <c r="F105" s="46" t="str">
        <f t="shared" si="18"/>
        <v/>
      </c>
      <c r="G105" s="47" t="str">
        <f>IF(B105="","",VLOOKUP($C$4,Param!$A:$I,MATCH(Flujo!$G$14,Param!$A$1:$J$1,0),0)*$C$6)</f>
        <v/>
      </c>
      <c r="H105" s="47" t="str">
        <f>IF(B105="","",IF($C$4="Educativo (LP)",VLOOKUP($C$4,Param!$A$1:$I$4,MATCH(Flujo!$H$14,Param!$A$1:$I$1,0),0),0))</f>
        <v/>
      </c>
      <c r="I105" s="23" t="str">
        <f t="shared" si="20"/>
        <v/>
      </c>
      <c r="J105" s="23" t="str">
        <f t="shared" si="19"/>
        <v/>
      </c>
      <c r="K105" s="23"/>
      <c r="L105" s="28">
        <f t="shared" si="21"/>
        <v>0</v>
      </c>
    </row>
    <row r="106" spans="2:12" s="15" customFormat="1" ht="15" x14ac:dyDescent="0.25">
      <c r="B106" s="15" t="str">
        <f t="shared" si="14"/>
        <v/>
      </c>
      <c r="C106" s="25" t="str">
        <f t="shared" si="15"/>
        <v/>
      </c>
      <c r="D106" s="26" t="str">
        <f t="shared" si="16"/>
        <v/>
      </c>
      <c r="E106" s="26" t="str">
        <f t="shared" si="17"/>
        <v/>
      </c>
      <c r="F106" s="46" t="str">
        <f t="shared" si="18"/>
        <v/>
      </c>
      <c r="G106" s="47" t="str">
        <f>IF(B106="","",VLOOKUP($C$4,Param!$A:$I,MATCH(Flujo!$G$14,Param!$A$1:$J$1,0),0)*$C$6)</f>
        <v/>
      </c>
      <c r="H106" s="47" t="str">
        <f>IF(B106="","",IF($C$4="Educativo (LP)",VLOOKUP($C$4,Param!$A$1:$I$4,MATCH(Flujo!$H$14,Param!$A$1:$I$1,0),0),0))</f>
        <v/>
      </c>
      <c r="I106" s="23" t="str">
        <f t="shared" si="20"/>
        <v/>
      </c>
      <c r="J106" s="23" t="str">
        <f t="shared" si="19"/>
        <v/>
      </c>
      <c r="K106" s="23"/>
      <c r="L106" s="28">
        <f t="shared" si="21"/>
        <v>0</v>
      </c>
    </row>
    <row r="107" spans="2:12" s="15" customFormat="1" ht="15" x14ac:dyDescent="0.25">
      <c r="B107" s="15" t="str">
        <f t="shared" si="14"/>
        <v/>
      </c>
      <c r="C107" s="25" t="str">
        <f t="shared" si="15"/>
        <v/>
      </c>
      <c r="D107" s="26" t="str">
        <f t="shared" si="16"/>
        <v/>
      </c>
      <c r="E107" s="26" t="str">
        <f t="shared" si="17"/>
        <v/>
      </c>
      <c r="F107" s="46" t="str">
        <f t="shared" si="18"/>
        <v/>
      </c>
      <c r="G107" s="47" t="str">
        <f>IF(B107="","",VLOOKUP($C$4,Param!$A:$I,MATCH(Flujo!$G$14,Param!$A$1:$J$1,0),0)*$C$6)</f>
        <v/>
      </c>
      <c r="H107" s="47" t="str">
        <f>IF(B107="","",IF($C$4="Educativo (LP)",VLOOKUP($C$4,Param!$A$1:$I$4,MATCH(Flujo!$H$14,Param!$A$1:$I$1,0),0),0))</f>
        <v/>
      </c>
      <c r="I107" s="23" t="str">
        <f t="shared" si="20"/>
        <v/>
      </c>
      <c r="J107" s="23" t="str">
        <f t="shared" si="19"/>
        <v/>
      </c>
      <c r="K107" s="23"/>
      <c r="L107" s="28">
        <f t="shared" si="21"/>
        <v>0</v>
      </c>
    </row>
    <row r="108" spans="2:12" s="15" customFormat="1" ht="15" x14ac:dyDescent="0.25">
      <c r="B108" s="15" t="str">
        <f t="shared" si="14"/>
        <v/>
      </c>
      <c r="C108" s="25" t="str">
        <f t="shared" si="15"/>
        <v/>
      </c>
      <c r="D108" s="26" t="str">
        <f t="shared" si="16"/>
        <v/>
      </c>
      <c r="E108" s="26" t="str">
        <f t="shared" si="17"/>
        <v/>
      </c>
      <c r="F108" s="46" t="str">
        <f t="shared" si="18"/>
        <v/>
      </c>
      <c r="G108" s="47" t="str">
        <f>IF(B108="","",VLOOKUP($C$4,Param!$A:$I,MATCH(Flujo!$G$14,Param!$A$1:$J$1,0),0)*$C$6)</f>
        <v/>
      </c>
      <c r="H108" s="47" t="str">
        <f>IF(B108="","",IF($C$4="Educativo (LP)",VLOOKUP($C$4,Param!$A$1:$I$4,MATCH(Flujo!$H$14,Param!$A$1:$I$1,0),0),0))</f>
        <v/>
      </c>
      <c r="I108" s="23" t="str">
        <f t="shared" si="20"/>
        <v/>
      </c>
      <c r="J108" s="23" t="str">
        <f t="shared" si="19"/>
        <v/>
      </c>
      <c r="K108" s="23"/>
      <c r="L108" s="28">
        <f t="shared" si="21"/>
        <v>0</v>
      </c>
    </row>
    <row r="109" spans="2:12" s="15" customFormat="1" ht="15" x14ac:dyDescent="0.25">
      <c r="B109" s="15" t="str">
        <f t="shared" si="14"/>
        <v/>
      </c>
      <c r="C109" s="25" t="str">
        <f t="shared" si="15"/>
        <v/>
      </c>
      <c r="D109" s="26" t="str">
        <f t="shared" si="16"/>
        <v/>
      </c>
      <c r="E109" s="26" t="str">
        <f t="shared" si="17"/>
        <v/>
      </c>
      <c r="F109" s="46" t="str">
        <f t="shared" si="18"/>
        <v/>
      </c>
      <c r="G109" s="47" t="str">
        <f>IF(B109="","",VLOOKUP($C$4,Param!$A:$I,MATCH(Flujo!$G$14,Param!$A$1:$J$1,0),0)*$C$6)</f>
        <v/>
      </c>
      <c r="H109" s="47" t="str">
        <f>IF(B109="","",IF($C$4="Educativo (LP)",VLOOKUP($C$4,Param!$A$1:$I$4,MATCH(Flujo!$H$14,Param!$A$1:$I$1,0),0),0))</f>
        <v/>
      </c>
      <c r="I109" s="23" t="str">
        <f t="shared" si="20"/>
        <v/>
      </c>
      <c r="J109" s="23" t="str">
        <f t="shared" si="19"/>
        <v/>
      </c>
      <c r="K109" s="23"/>
      <c r="L109" s="28">
        <f t="shared" si="21"/>
        <v>0</v>
      </c>
    </row>
    <row r="110" spans="2:12" s="15" customFormat="1" ht="15" x14ac:dyDescent="0.25">
      <c r="B110" s="15" t="str">
        <f t="shared" si="14"/>
        <v/>
      </c>
      <c r="C110" s="25" t="str">
        <f t="shared" si="15"/>
        <v/>
      </c>
      <c r="D110" s="26" t="str">
        <f t="shared" si="16"/>
        <v/>
      </c>
      <c r="E110" s="26" t="str">
        <f t="shared" si="17"/>
        <v/>
      </c>
      <c r="F110" s="46" t="str">
        <f t="shared" si="18"/>
        <v/>
      </c>
      <c r="G110" s="47" t="str">
        <f>IF(B110="","",VLOOKUP($C$4,Param!$A:$I,MATCH(Flujo!$G$14,Param!$A$1:$J$1,0),0)*$C$6)</f>
        <v/>
      </c>
      <c r="H110" s="47" t="str">
        <f>IF(B110="","",IF($C$4="Educativo (LP)",VLOOKUP($C$4,Param!$A$1:$I$4,MATCH(Flujo!$H$14,Param!$A$1:$I$1,0),0),0))</f>
        <v/>
      </c>
      <c r="I110" s="23" t="str">
        <f t="shared" si="20"/>
        <v/>
      </c>
      <c r="J110" s="23" t="str">
        <f t="shared" si="19"/>
        <v/>
      </c>
      <c r="K110" s="23"/>
      <c r="L110" s="28">
        <f t="shared" si="21"/>
        <v>0</v>
      </c>
    </row>
    <row r="111" spans="2:12" s="15" customFormat="1" ht="15" x14ac:dyDescent="0.25">
      <c r="B111" s="15" t="str">
        <f t="shared" si="14"/>
        <v/>
      </c>
      <c r="C111" s="25" t="str">
        <f t="shared" si="15"/>
        <v/>
      </c>
      <c r="D111" s="26" t="str">
        <f t="shared" si="16"/>
        <v/>
      </c>
      <c r="E111" s="26" t="str">
        <f t="shared" si="17"/>
        <v/>
      </c>
      <c r="F111" s="46" t="str">
        <f t="shared" si="18"/>
        <v/>
      </c>
      <c r="G111" s="47" t="str">
        <f>IF(B111="","",VLOOKUP($C$4,Param!$A:$I,MATCH(Flujo!$G$14,Param!$A$1:$J$1,0),0)*$C$6)</f>
        <v/>
      </c>
      <c r="H111" s="47" t="str">
        <f>IF(B111="","",IF($C$4="Educativo (LP)",VLOOKUP($C$4,Param!$A$1:$I$4,MATCH(Flujo!$H$14,Param!$A$1:$I$1,0),0),0))</f>
        <v/>
      </c>
      <c r="I111" s="23" t="str">
        <f t="shared" si="20"/>
        <v/>
      </c>
      <c r="J111" s="23" t="str">
        <f t="shared" si="19"/>
        <v/>
      </c>
      <c r="K111" s="23"/>
      <c r="L111" s="28">
        <f t="shared" si="21"/>
        <v>0</v>
      </c>
    </row>
    <row r="112" spans="2:12" s="15" customFormat="1" ht="15" x14ac:dyDescent="0.25">
      <c r="B112" s="15" t="str">
        <f t="shared" si="14"/>
        <v/>
      </c>
      <c r="C112" s="25" t="str">
        <f t="shared" si="15"/>
        <v/>
      </c>
      <c r="D112" s="26" t="str">
        <f t="shared" si="16"/>
        <v/>
      </c>
      <c r="E112" s="26" t="str">
        <f t="shared" si="17"/>
        <v/>
      </c>
      <c r="F112" s="46" t="str">
        <f t="shared" si="18"/>
        <v/>
      </c>
      <c r="G112" s="47" t="str">
        <f>IF(B112="","",VLOOKUP($C$4,Param!$A:$I,MATCH(Flujo!$G$14,Param!$A$1:$J$1,0),0)*$C$6)</f>
        <v/>
      </c>
      <c r="H112" s="47" t="str">
        <f>IF(B112="","",IF($C$4="Educativo (LP)",VLOOKUP($C$4,Param!$A$1:$I$4,MATCH(Flujo!$H$14,Param!$A$1:$I$1,0),0),0))</f>
        <v/>
      </c>
      <c r="I112" s="23" t="str">
        <f t="shared" si="20"/>
        <v/>
      </c>
      <c r="J112" s="23" t="str">
        <f t="shared" si="19"/>
        <v/>
      </c>
      <c r="K112" s="23"/>
      <c r="L112" s="28">
        <f t="shared" si="21"/>
        <v>0</v>
      </c>
    </row>
    <row r="113" spans="2:12" s="15" customFormat="1" ht="15" x14ac:dyDescent="0.25">
      <c r="B113" s="15" t="str">
        <f t="shared" ref="B113:B136" si="22">IF(B112&gt;=$C$9,"",IF(J112=0,"",B112+1))</f>
        <v/>
      </c>
      <c r="C113" s="25" t="str">
        <f t="shared" ref="C113:C136" si="23">IF(B113="","",IF(B113=$C$9,J112,cuota-D113))</f>
        <v/>
      </c>
      <c r="D113" s="26" t="str">
        <f t="shared" ref="D113:D136" si="24">(IF(J112&lt;0,0,IF(B113&lt;=$C$9,$J112*$C$12,"")))</f>
        <v/>
      </c>
      <c r="E113" s="26" t="str">
        <f t="shared" ref="E113:E136" si="25">IF(B113="","",SUM(D113:D113))</f>
        <v/>
      </c>
      <c r="F113" s="46" t="str">
        <f t="shared" ref="F113:F136" si="26">IF(B113=$C$9,D113+C113,IF(B113="","",cuota))</f>
        <v/>
      </c>
      <c r="G113" s="47" t="str">
        <f>IF(B113="","",VLOOKUP($C$4,Param!$A:$I,MATCH(Flujo!$G$14,Param!$A$1:$J$1,0),0)*$C$6)</f>
        <v/>
      </c>
      <c r="H113" s="47" t="str">
        <f>IF(B113="","",IF($C$4="Educativo (LP)",VLOOKUP($C$4,Param!$A$1:$I$4,MATCH(Flujo!$H$14,Param!$A$1:$I$1,0),0),0))</f>
        <v/>
      </c>
      <c r="I113" s="23" t="str">
        <f t="shared" si="20"/>
        <v/>
      </c>
      <c r="J113" s="23" t="str">
        <f t="shared" ref="J113:J136" si="27">IF(B113&lt;=$C$9,(J112-C113),"")</f>
        <v/>
      </c>
      <c r="K113" s="23"/>
      <c r="L113" s="28">
        <f t="shared" si="21"/>
        <v>0</v>
      </c>
    </row>
    <row r="114" spans="2:12" s="15" customFormat="1" ht="15" x14ac:dyDescent="0.25">
      <c r="B114" s="15" t="str">
        <f t="shared" si="22"/>
        <v/>
      </c>
      <c r="C114" s="25" t="str">
        <f t="shared" si="23"/>
        <v/>
      </c>
      <c r="D114" s="26" t="str">
        <f t="shared" si="24"/>
        <v/>
      </c>
      <c r="E114" s="26" t="str">
        <f t="shared" si="25"/>
        <v/>
      </c>
      <c r="F114" s="46" t="str">
        <f t="shared" si="26"/>
        <v/>
      </c>
      <c r="G114" s="47" t="str">
        <f>IF(B114="","",VLOOKUP($C$4,Param!$A:$I,MATCH(Flujo!$G$14,Param!$A$1:$J$1,0),0)*$C$6)</f>
        <v/>
      </c>
      <c r="H114" s="47" t="str">
        <f>IF(B114="","",IF($C$4="Educativo (LP)",VLOOKUP($C$4,Param!$A$1:$I$4,MATCH(Flujo!$H$14,Param!$A$1:$I$1,0),0),0))</f>
        <v/>
      </c>
      <c r="I114" s="23" t="str">
        <f t="shared" si="20"/>
        <v/>
      </c>
      <c r="J114" s="23" t="str">
        <f t="shared" si="27"/>
        <v/>
      </c>
      <c r="K114" s="23"/>
      <c r="L114" s="28">
        <f t="shared" si="21"/>
        <v>0</v>
      </c>
    </row>
    <row r="115" spans="2:12" s="15" customFormat="1" ht="15" x14ac:dyDescent="0.25">
      <c r="B115" s="15" t="str">
        <f t="shared" si="22"/>
        <v/>
      </c>
      <c r="C115" s="25" t="str">
        <f t="shared" si="23"/>
        <v/>
      </c>
      <c r="D115" s="26" t="str">
        <f t="shared" si="24"/>
        <v/>
      </c>
      <c r="E115" s="26" t="str">
        <f t="shared" si="25"/>
        <v/>
      </c>
      <c r="F115" s="46" t="str">
        <f t="shared" si="26"/>
        <v/>
      </c>
      <c r="G115" s="47" t="str">
        <f>IF(B115="","",VLOOKUP($C$4,Param!$A:$I,MATCH(Flujo!$G$14,Param!$A$1:$J$1,0),0)*$C$6)</f>
        <v/>
      </c>
      <c r="H115" s="47" t="str">
        <f>IF(B115="","",IF($C$4="Educativo (LP)",VLOOKUP($C$4,Param!$A$1:$I$4,MATCH(Flujo!$H$14,Param!$A$1:$I$1,0),0),0))</f>
        <v/>
      </c>
      <c r="I115" s="23" t="str">
        <f t="shared" si="20"/>
        <v/>
      </c>
      <c r="J115" s="23" t="str">
        <f t="shared" si="27"/>
        <v/>
      </c>
      <c r="K115" s="23"/>
      <c r="L115" s="28">
        <f t="shared" si="21"/>
        <v>0</v>
      </c>
    </row>
    <row r="116" spans="2:12" s="15" customFormat="1" ht="15" x14ac:dyDescent="0.25">
      <c r="B116" s="15" t="str">
        <f t="shared" si="22"/>
        <v/>
      </c>
      <c r="C116" s="25" t="str">
        <f t="shared" si="23"/>
        <v/>
      </c>
      <c r="D116" s="26" t="str">
        <f t="shared" si="24"/>
        <v/>
      </c>
      <c r="E116" s="26" t="str">
        <f t="shared" si="25"/>
        <v/>
      </c>
      <c r="F116" s="46" t="str">
        <f t="shared" si="26"/>
        <v/>
      </c>
      <c r="G116" s="47" t="str">
        <f>IF(B116="","",VLOOKUP($C$4,Param!$A:$I,MATCH(Flujo!$G$14,Param!$A$1:$J$1,0),0)*$C$6)</f>
        <v/>
      </c>
      <c r="H116" s="47" t="str">
        <f>IF(B116="","",IF($C$4="Educativo (LP)",VLOOKUP($C$4,Param!$A$1:$I$4,MATCH(Flujo!$H$14,Param!$A$1:$I$1,0),0),0))</f>
        <v/>
      </c>
      <c r="I116" s="23" t="str">
        <f t="shared" si="20"/>
        <v/>
      </c>
      <c r="J116" s="23" t="str">
        <f t="shared" si="27"/>
        <v/>
      </c>
      <c r="K116" s="23"/>
      <c r="L116" s="28">
        <f t="shared" si="21"/>
        <v>0</v>
      </c>
    </row>
    <row r="117" spans="2:12" s="15" customFormat="1" ht="15" x14ac:dyDescent="0.25">
      <c r="B117" s="15" t="str">
        <f t="shared" si="22"/>
        <v/>
      </c>
      <c r="C117" s="25" t="str">
        <f t="shared" si="23"/>
        <v/>
      </c>
      <c r="D117" s="26" t="str">
        <f t="shared" si="24"/>
        <v/>
      </c>
      <c r="E117" s="26" t="str">
        <f t="shared" si="25"/>
        <v/>
      </c>
      <c r="F117" s="46" t="str">
        <f t="shared" si="26"/>
        <v/>
      </c>
      <c r="G117" s="47" t="str">
        <f>IF(B117="","",VLOOKUP($C$4,Param!$A:$I,MATCH(Flujo!$G$14,Param!$A$1:$J$1,0),0)*$C$6)</f>
        <v/>
      </c>
      <c r="H117" s="47" t="str">
        <f>IF(B117="","",IF($C$4="Educativo (LP)",VLOOKUP($C$4,Param!$A$1:$I$4,MATCH(Flujo!$H$14,Param!$A$1:$I$1,0),0),0))</f>
        <v/>
      </c>
      <c r="I117" s="23" t="str">
        <f t="shared" si="20"/>
        <v/>
      </c>
      <c r="J117" s="23" t="str">
        <f t="shared" si="27"/>
        <v/>
      </c>
      <c r="K117" s="23"/>
      <c r="L117" s="28">
        <f t="shared" si="21"/>
        <v>0</v>
      </c>
    </row>
    <row r="118" spans="2:12" s="15" customFormat="1" ht="15" x14ac:dyDescent="0.25">
      <c r="B118" s="15" t="str">
        <f t="shared" si="22"/>
        <v/>
      </c>
      <c r="C118" s="25" t="str">
        <f t="shared" si="23"/>
        <v/>
      </c>
      <c r="D118" s="26" t="str">
        <f t="shared" si="24"/>
        <v/>
      </c>
      <c r="E118" s="26" t="str">
        <f t="shared" si="25"/>
        <v/>
      </c>
      <c r="F118" s="46" t="str">
        <f t="shared" si="26"/>
        <v/>
      </c>
      <c r="G118" s="47" t="str">
        <f>IF(B118="","",VLOOKUP($C$4,Param!$A:$I,MATCH(Flujo!$G$14,Param!$A$1:$J$1,0),0)*$C$6)</f>
        <v/>
      </c>
      <c r="H118" s="47" t="str">
        <f>IF(B118="","",IF($C$4="Educativo (LP)",VLOOKUP($C$4,Param!$A$1:$I$4,MATCH(Flujo!$H$14,Param!$A$1:$I$1,0),0),0))</f>
        <v/>
      </c>
      <c r="I118" s="23" t="str">
        <f t="shared" si="20"/>
        <v/>
      </c>
      <c r="J118" s="23" t="str">
        <f t="shared" si="27"/>
        <v/>
      </c>
      <c r="K118" s="23"/>
      <c r="L118" s="28">
        <f t="shared" si="21"/>
        <v>0</v>
      </c>
    </row>
    <row r="119" spans="2:12" s="15" customFormat="1" ht="15" x14ac:dyDescent="0.25">
      <c r="B119" s="15" t="str">
        <f t="shared" si="22"/>
        <v/>
      </c>
      <c r="C119" s="25" t="str">
        <f t="shared" si="23"/>
        <v/>
      </c>
      <c r="D119" s="26" t="str">
        <f t="shared" si="24"/>
        <v/>
      </c>
      <c r="E119" s="26" t="str">
        <f t="shared" si="25"/>
        <v/>
      </c>
      <c r="F119" s="46" t="str">
        <f t="shared" si="26"/>
        <v/>
      </c>
      <c r="G119" s="47" t="str">
        <f>IF(B119="","",VLOOKUP($C$4,Param!$A:$I,MATCH(Flujo!$G$14,Param!$A$1:$J$1,0),0)*$C$6)</f>
        <v/>
      </c>
      <c r="H119" s="47" t="str">
        <f>IF(B119="","",IF($C$4="Educativo (LP)",VLOOKUP($C$4,Param!$A$1:$I$4,MATCH(Flujo!$H$14,Param!$A$1:$I$1,0),0),0))</f>
        <v/>
      </c>
      <c r="I119" s="23" t="str">
        <f t="shared" si="20"/>
        <v/>
      </c>
      <c r="J119" s="23" t="str">
        <f t="shared" si="27"/>
        <v/>
      </c>
      <c r="K119" s="23"/>
      <c r="L119" s="28">
        <f t="shared" si="21"/>
        <v>0</v>
      </c>
    </row>
    <row r="120" spans="2:12" s="15" customFormat="1" ht="15" x14ac:dyDescent="0.25">
      <c r="B120" s="15" t="str">
        <f t="shared" si="22"/>
        <v/>
      </c>
      <c r="C120" s="25" t="str">
        <f t="shared" si="23"/>
        <v/>
      </c>
      <c r="D120" s="26" t="str">
        <f t="shared" si="24"/>
        <v/>
      </c>
      <c r="E120" s="26" t="str">
        <f t="shared" si="25"/>
        <v/>
      </c>
      <c r="F120" s="46" t="str">
        <f t="shared" si="26"/>
        <v/>
      </c>
      <c r="G120" s="47" t="str">
        <f>IF(B120="","",VLOOKUP($C$4,Param!$A:$I,MATCH(Flujo!$G$14,Param!$A$1:$J$1,0),0)*$C$6)</f>
        <v/>
      </c>
      <c r="H120" s="47" t="str">
        <f>IF(B120="","",IF($C$4="Educativo (LP)",VLOOKUP($C$4,Param!$A$1:$I$4,MATCH(Flujo!$H$14,Param!$A$1:$I$1,0),0),0))</f>
        <v/>
      </c>
      <c r="I120" s="23" t="str">
        <f t="shared" si="20"/>
        <v/>
      </c>
      <c r="J120" s="23" t="str">
        <f t="shared" si="27"/>
        <v/>
      </c>
      <c r="K120" s="23"/>
      <c r="L120" s="28">
        <f t="shared" si="21"/>
        <v>0</v>
      </c>
    </row>
    <row r="121" spans="2:12" s="15" customFormat="1" ht="15" x14ac:dyDescent="0.25">
      <c r="B121" s="15" t="str">
        <f t="shared" si="22"/>
        <v/>
      </c>
      <c r="C121" s="25" t="str">
        <f t="shared" si="23"/>
        <v/>
      </c>
      <c r="D121" s="26" t="str">
        <f t="shared" si="24"/>
        <v/>
      </c>
      <c r="E121" s="26" t="str">
        <f t="shared" si="25"/>
        <v/>
      </c>
      <c r="F121" s="46" t="str">
        <f t="shared" si="26"/>
        <v/>
      </c>
      <c r="G121" s="47" t="str">
        <f>IF(B121="","",VLOOKUP($C$4,Param!$A:$I,MATCH(Flujo!$G$14,Param!$A$1:$J$1,0),0)*$C$6)</f>
        <v/>
      </c>
      <c r="H121" s="47" t="str">
        <f>IF(B121="","",IF($C$4="Educativo (LP)",VLOOKUP($C$4,Param!$A$1:$I$4,MATCH(Flujo!$H$14,Param!$A$1:$I$1,0),0),0))</f>
        <v/>
      </c>
      <c r="I121" s="23" t="str">
        <f t="shared" si="20"/>
        <v/>
      </c>
      <c r="J121" s="23" t="str">
        <f t="shared" si="27"/>
        <v/>
      </c>
      <c r="K121" s="23"/>
      <c r="L121" s="28">
        <f t="shared" si="21"/>
        <v>0</v>
      </c>
    </row>
    <row r="122" spans="2:12" s="15" customFormat="1" ht="15" x14ac:dyDescent="0.25">
      <c r="B122" s="15" t="str">
        <f t="shared" si="22"/>
        <v/>
      </c>
      <c r="C122" s="25" t="str">
        <f t="shared" si="23"/>
        <v/>
      </c>
      <c r="D122" s="26" t="str">
        <f t="shared" si="24"/>
        <v/>
      </c>
      <c r="E122" s="26" t="str">
        <f t="shared" si="25"/>
        <v/>
      </c>
      <c r="F122" s="46" t="str">
        <f t="shared" si="26"/>
        <v/>
      </c>
      <c r="G122" s="47" t="str">
        <f>IF(B122="","",VLOOKUP($C$4,Param!$A:$I,MATCH(Flujo!$G$14,Param!$A$1:$J$1,0),0)*$C$6)</f>
        <v/>
      </c>
      <c r="H122" s="47" t="str">
        <f>IF(B122="","",IF($C$4="Educativo (LP)",VLOOKUP($C$4,Param!$A$1:$I$4,MATCH(Flujo!$H$14,Param!$A$1:$I$1,0),0),0))</f>
        <v/>
      </c>
      <c r="I122" s="23" t="str">
        <f t="shared" si="20"/>
        <v/>
      </c>
      <c r="J122" s="23" t="str">
        <f t="shared" si="27"/>
        <v/>
      </c>
      <c r="K122" s="23"/>
      <c r="L122" s="28">
        <f t="shared" si="21"/>
        <v>0</v>
      </c>
    </row>
    <row r="123" spans="2:12" s="15" customFormat="1" ht="15" x14ac:dyDescent="0.25">
      <c r="B123" s="15" t="str">
        <f t="shared" si="22"/>
        <v/>
      </c>
      <c r="C123" s="25" t="str">
        <f t="shared" si="23"/>
        <v/>
      </c>
      <c r="D123" s="26" t="str">
        <f t="shared" si="24"/>
        <v/>
      </c>
      <c r="E123" s="26" t="str">
        <f t="shared" si="25"/>
        <v/>
      </c>
      <c r="F123" s="46" t="str">
        <f t="shared" si="26"/>
        <v/>
      </c>
      <c r="G123" s="47" t="str">
        <f>IF(B123="","",VLOOKUP($C$4,Param!$A:$I,MATCH(Flujo!$G$14,Param!$A$1:$J$1,0),0)*$C$6)</f>
        <v/>
      </c>
      <c r="H123" s="47" t="str">
        <f>IF(B123="","",IF($C$4="Educativo (LP)",VLOOKUP($C$4,Param!$A$1:$I$4,MATCH(Flujo!$H$14,Param!$A$1:$I$1,0),0),0))</f>
        <v/>
      </c>
      <c r="I123" s="23" t="str">
        <f t="shared" si="20"/>
        <v/>
      </c>
      <c r="J123" s="23" t="str">
        <f t="shared" si="27"/>
        <v/>
      </c>
      <c r="K123" s="23"/>
      <c r="L123" s="28">
        <f t="shared" si="21"/>
        <v>0</v>
      </c>
    </row>
    <row r="124" spans="2:12" s="15" customFormat="1" ht="15" x14ac:dyDescent="0.25">
      <c r="B124" s="15" t="str">
        <f t="shared" si="22"/>
        <v/>
      </c>
      <c r="C124" s="25" t="str">
        <f t="shared" si="23"/>
        <v/>
      </c>
      <c r="D124" s="26" t="str">
        <f t="shared" si="24"/>
        <v/>
      </c>
      <c r="E124" s="26" t="str">
        <f t="shared" si="25"/>
        <v/>
      </c>
      <c r="F124" s="46" t="str">
        <f t="shared" si="26"/>
        <v/>
      </c>
      <c r="G124" s="47" t="str">
        <f>IF(B124="","",VLOOKUP($C$4,Param!$A:$I,MATCH(Flujo!$G$14,Param!$A$1:$J$1,0),0)*$C$6)</f>
        <v/>
      </c>
      <c r="H124" s="47" t="str">
        <f>IF(B124="","",IF($C$4="Educativo (LP)",VLOOKUP($C$4,Param!$A$1:$I$4,MATCH(Flujo!$H$14,Param!$A$1:$I$1,0),0),0))</f>
        <v/>
      </c>
      <c r="I124" s="23" t="str">
        <f t="shared" si="20"/>
        <v/>
      </c>
      <c r="J124" s="23" t="str">
        <f t="shared" si="27"/>
        <v/>
      </c>
      <c r="K124" s="23"/>
      <c r="L124" s="28">
        <f t="shared" si="21"/>
        <v>0</v>
      </c>
    </row>
    <row r="125" spans="2:12" s="15" customFormat="1" ht="15" x14ac:dyDescent="0.25">
      <c r="B125" s="15" t="str">
        <f t="shared" si="22"/>
        <v/>
      </c>
      <c r="C125" s="25" t="str">
        <f t="shared" si="23"/>
        <v/>
      </c>
      <c r="D125" s="26" t="str">
        <f t="shared" si="24"/>
        <v/>
      </c>
      <c r="E125" s="26" t="str">
        <f t="shared" si="25"/>
        <v/>
      </c>
      <c r="F125" s="46" t="str">
        <f t="shared" si="26"/>
        <v/>
      </c>
      <c r="G125" s="47" t="str">
        <f>IF(B125="","",VLOOKUP($C$4,Param!$A:$I,MATCH(Flujo!$G$14,Param!$A$1:$J$1,0),0)*$C$6)</f>
        <v/>
      </c>
      <c r="H125" s="47" t="str">
        <f>IF(B125="","",IF($C$4="Educativo (LP)",VLOOKUP($C$4,Param!$A$1:$I$4,MATCH(Flujo!$H$14,Param!$A$1:$I$1,0),0),0))</f>
        <v/>
      </c>
      <c r="I125" s="23" t="str">
        <f t="shared" si="20"/>
        <v/>
      </c>
      <c r="J125" s="23" t="str">
        <f t="shared" si="27"/>
        <v/>
      </c>
      <c r="K125" s="23"/>
      <c r="L125" s="28">
        <f t="shared" si="21"/>
        <v>0</v>
      </c>
    </row>
    <row r="126" spans="2:12" s="15" customFormat="1" ht="15" x14ac:dyDescent="0.25">
      <c r="B126" s="15" t="str">
        <f t="shared" si="22"/>
        <v/>
      </c>
      <c r="C126" s="25" t="str">
        <f t="shared" si="23"/>
        <v/>
      </c>
      <c r="D126" s="26" t="str">
        <f t="shared" si="24"/>
        <v/>
      </c>
      <c r="E126" s="26" t="str">
        <f t="shared" si="25"/>
        <v/>
      </c>
      <c r="F126" s="46" t="str">
        <f t="shared" si="26"/>
        <v/>
      </c>
      <c r="G126" s="47" t="str">
        <f>IF(B126="","",VLOOKUP($C$4,Param!$A:$I,MATCH(Flujo!$G$14,Param!$A$1:$J$1,0),0)*$C$6)</f>
        <v/>
      </c>
      <c r="H126" s="47" t="str">
        <f>IF(B126="","",IF($C$4="Educativo (LP)",VLOOKUP($C$4,Param!$A$1:$I$4,MATCH(Flujo!$H$14,Param!$A$1:$I$1,0),0),0))</f>
        <v/>
      </c>
      <c r="I126" s="23" t="str">
        <f t="shared" si="20"/>
        <v/>
      </c>
      <c r="J126" s="23" t="str">
        <f t="shared" si="27"/>
        <v/>
      </c>
      <c r="K126" s="23"/>
      <c r="L126" s="28">
        <f t="shared" si="21"/>
        <v>0</v>
      </c>
    </row>
    <row r="127" spans="2:12" s="15" customFormat="1" ht="15" x14ac:dyDescent="0.25">
      <c r="B127" s="15" t="str">
        <f t="shared" si="22"/>
        <v/>
      </c>
      <c r="C127" s="25" t="str">
        <f t="shared" si="23"/>
        <v/>
      </c>
      <c r="D127" s="26" t="str">
        <f t="shared" si="24"/>
        <v/>
      </c>
      <c r="E127" s="26" t="str">
        <f t="shared" si="25"/>
        <v/>
      </c>
      <c r="F127" s="46" t="str">
        <f t="shared" si="26"/>
        <v/>
      </c>
      <c r="G127" s="47" t="str">
        <f>IF(B127="","",VLOOKUP($C$4,Param!$A:$I,MATCH(Flujo!$G$14,Param!$A$1:$J$1,0),0)*$C$6)</f>
        <v/>
      </c>
      <c r="H127" s="47" t="str">
        <f>IF(B127="","",IF($C$4="Educativo (LP)",VLOOKUP($C$4,Param!$A$1:$I$4,MATCH(Flujo!$H$14,Param!$A$1:$I$1,0),0),0))</f>
        <v/>
      </c>
      <c r="I127" s="23" t="str">
        <f t="shared" si="20"/>
        <v/>
      </c>
      <c r="J127" s="23" t="str">
        <f t="shared" si="27"/>
        <v/>
      </c>
      <c r="K127" s="23"/>
      <c r="L127" s="28">
        <f t="shared" si="21"/>
        <v>0</v>
      </c>
    </row>
    <row r="128" spans="2:12" s="15" customFormat="1" ht="15" x14ac:dyDescent="0.25">
      <c r="B128" s="15" t="str">
        <f t="shared" si="22"/>
        <v/>
      </c>
      <c r="C128" s="25" t="str">
        <f t="shared" si="23"/>
        <v/>
      </c>
      <c r="D128" s="26" t="str">
        <f t="shared" si="24"/>
        <v/>
      </c>
      <c r="E128" s="26" t="str">
        <f t="shared" si="25"/>
        <v/>
      </c>
      <c r="F128" s="46" t="str">
        <f t="shared" si="26"/>
        <v/>
      </c>
      <c r="G128" s="47" t="str">
        <f>IF(B128="","",VLOOKUP($C$4,Param!$A:$I,MATCH(Flujo!$G$14,Param!$A$1:$J$1,0),0)*$C$6)</f>
        <v/>
      </c>
      <c r="H128" s="47" t="str">
        <f>IF(B128="","",IF($C$4="Educativo (LP)",VLOOKUP($C$4,Param!$A$1:$I$4,MATCH(Flujo!$H$14,Param!$A$1:$I$1,0),0),0))</f>
        <v/>
      </c>
      <c r="I128" s="23" t="str">
        <f t="shared" si="20"/>
        <v/>
      </c>
      <c r="J128" s="23" t="str">
        <f t="shared" si="27"/>
        <v/>
      </c>
      <c r="K128" s="23"/>
      <c r="L128" s="28">
        <f t="shared" si="21"/>
        <v>0</v>
      </c>
    </row>
    <row r="129" spans="1:13" s="15" customFormat="1" ht="15" x14ac:dyDescent="0.25">
      <c r="B129" s="15" t="str">
        <f t="shared" si="22"/>
        <v/>
      </c>
      <c r="C129" s="25" t="str">
        <f t="shared" si="23"/>
        <v/>
      </c>
      <c r="D129" s="26" t="str">
        <f t="shared" si="24"/>
        <v/>
      </c>
      <c r="E129" s="26" t="str">
        <f t="shared" si="25"/>
        <v/>
      </c>
      <c r="F129" s="46" t="str">
        <f t="shared" si="26"/>
        <v/>
      </c>
      <c r="G129" s="47" t="str">
        <f>IF(B129="","",VLOOKUP($C$4,Param!$A:$I,MATCH(Flujo!$G$14,Param!$A$1:$J$1,0),0)*$C$6)</f>
        <v/>
      </c>
      <c r="H129" s="47" t="str">
        <f>IF(B129="","",IF($C$4="Educativo (LP)",VLOOKUP($C$4,Param!$A$1:$I$4,MATCH(Flujo!$H$14,Param!$A$1:$I$1,0),0),0))</f>
        <v/>
      </c>
      <c r="I129" s="23" t="str">
        <f t="shared" si="20"/>
        <v/>
      </c>
      <c r="J129" s="23" t="str">
        <f t="shared" si="27"/>
        <v/>
      </c>
      <c r="K129" s="23"/>
      <c r="L129" s="28">
        <f t="shared" si="21"/>
        <v>0</v>
      </c>
    </row>
    <row r="130" spans="1:13" s="15" customFormat="1" ht="15" x14ac:dyDescent="0.25">
      <c r="B130" s="15" t="str">
        <f t="shared" si="22"/>
        <v/>
      </c>
      <c r="C130" s="25" t="str">
        <f t="shared" si="23"/>
        <v/>
      </c>
      <c r="D130" s="26" t="str">
        <f t="shared" si="24"/>
        <v/>
      </c>
      <c r="E130" s="26" t="str">
        <f t="shared" si="25"/>
        <v/>
      </c>
      <c r="F130" s="46" t="str">
        <f t="shared" si="26"/>
        <v/>
      </c>
      <c r="G130" s="47" t="str">
        <f>IF(B130="","",VLOOKUP($C$4,Param!$A:$I,MATCH(Flujo!$G$14,Param!$A$1:$J$1,0),0)*$C$6)</f>
        <v/>
      </c>
      <c r="H130" s="47" t="str">
        <f>IF(B130="","",IF($C$4="Educativo (LP)",VLOOKUP($C$4,Param!$A$1:$I$4,MATCH(Flujo!$H$14,Param!$A$1:$I$1,0),0),0))</f>
        <v/>
      </c>
      <c r="I130" s="23" t="str">
        <f t="shared" si="20"/>
        <v/>
      </c>
      <c r="J130" s="23" t="str">
        <f t="shared" si="27"/>
        <v/>
      </c>
      <c r="K130" s="23"/>
      <c r="L130" s="28">
        <f t="shared" si="21"/>
        <v>0</v>
      </c>
    </row>
    <row r="131" spans="1:13" s="15" customFormat="1" ht="15" x14ac:dyDescent="0.25">
      <c r="B131" s="15" t="str">
        <f t="shared" si="22"/>
        <v/>
      </c>
      <c r="C131" s="25" t="str">
        <f t="shared" si="23"/>
        <v/>
      </c>
      <c r="D131" s="26" t="str">
        <f t="shared" si="24"/>
        <v/>
      </c>
      <c r="E131" s="26" t="str">
        <f t="shared" si="25"/>
        <v/>
      </c>
      <c r="F131" s="46" t="str">
        <f t="shared" si="26"/>
        <v/>
      </c>
      <c r="G131" s="47" t="str">
        <f>IF(B131="","",VLOOKUP($C$4,Param!$A:$I,MATCH(Flujo!$G$14,Param!$A$1:$J$1,0),0)*$C$6)</f>
        <v/>
      </c>
      <c r="H131" s="47" t="str">
        <f>IF(B131="","",IF($C$4="Educativo (LP)",VLOOKUP($C$4,Param!$A$1:$I$4,MATCH(Flujo!$H$14,Param!$A$1:$I$1,0),0),0))</f>
        <v/>
      </c>
      <c r="I131" s="23" t="str">
        <f t="shared" si="20"/>
        <v/>
      </c>
      <c r="J131" s="23" t="str">
        <f t="shared" si="27"/>
        <v/>
      </c>
      <c r="K131" s="23"/>
      <c r="L131" s="28">
        <f t="shared" si="21"/>
        <v>0</v>
      </c>
    </row>
    <row r="132" spans="1:13" s="15" customFormat="1" ht="15" x14ac:dyDescent="0.25">
      <c r="B132" s="15" t="str">
        <f t="shared" si="22"/>
        <v/>
      </c>
      <c r="C132" s="25" t="str">
        <f t="shared" si="23"/>
        <v/>
      </c>
      <c r="D132" s="26" t="str">
        <f t="shared" si="24"/>
        <v/>
      </c>
      <c r="E132" s="26" t="str">
        <f t="shared" si="25"/>
        <v/>
      </c>
      <c r="F132" s="46" t="str">
        <f t="shared" si="26"/>
        <v/>
      </c>
      <c r="G132" s="47" t="str">
        <f>IF(B132="","",VLOOKUP($C$4,Param!$A:$I,MATCH(Flujo!$G$14,Param!$A$1:$J$1,0),0)*$C$6)</f>
        <v/>
      </c>
      <c r="H132" s="47" t="str">
        <f>IF(B132="","",IF($C$4="Educativo (LP)",VLOOKUP($C$4,Param!$A$1:$I$4,MATCH(Flujo!$H$14,Param!$A$1:$I$1,0),0),0))</f>
        <v/>
      </c>
      <c r="I132" s="23" t="str">
        <f t="shared" si="20"/>
        <v/>
      </c>
      <c r="J132" s="23" t="str">
        <f t="shared" si="27"/>
        <v/>
      </c>
      <c r="K132" s="23"/>
      <c r="L132" s="28">
        <f t="shared" si="21"/>
        <v>0</v>
      </c>
    </row>
    <row r="133" spans="1:13" s="15" customFormat="1" ht="15" x14ac:dyDescent="0.25">
      <c r="B133" s="15" t="str">
        <f t="shared" si="22"/>
        <v/>
      </c>
      <c r="C133" s="25" t="str">
        <f t="shared" si="23"/>
        <v/>
      </c>
      <c r="D133" s="26" t="str">
        <f t="shared" si="24"/>
        <v/>
      </c>
      <c r="E133" s="26" t="str">
        <f t="shared" si="25"/>
        <v/>
      </c>
      <c r="F133" s="46" t="str">
        <f t="shared" si="26"/>
        <v/>
      </c>
      <c r="G133" s="47" t="str">
        <f>IF(B133="","",VLOOKUP($C$4,Param!$A:$I,MATCH(Flujo!$G$14,Param!$A$1:$J$1,0),0)*$C$6)</f>
        <v/>
      </c>
      <c r="H133" s="47" t="str">
        <f>IF(B133="","",IF($C$4="Educativo (LP)",VLOOKUP($C$4,Param!$A$1:$I$4,MATCH(Flujo!$H$14,Param!$A$1:$I$1,0),0),0))</f>
        <v/>
      </c>
      <c r="I133" s="23" t="str">
        <f t="shared" si="20"/>
        <v/>
      </c>
      <c r="J133" s="23" t="str">
        <f t="shared" si="27"/>
        <v/>
      </c>
      <c r="K133" s="23"/>
      <c r="L133" s="28">
        <f t="shared" si="21"/>
        <v>0</v>
      </c>
    </row>
    <row r="134" spans="1:13" s="15" customFormat="1" ht="15" x14ac:dyDescent="0.25">
      <c r="B134" s="15" t="str">
        <f t="shared" si="22"/>
        <v/>
      </c>
      <c r="C134" s="25" t="str">
        <f t="shared" si="23"/>
        <v/>
      </c>
      <c r="D134" s="26" t="str">
        <f t="shared" si="24"/>
        <v/>
      </c>
      <c r="E134" s="26" t="str">
        <f t="shared" si="25"/>
        <v/>
      </c>
      <c r="F134" s="46" t="str">
        <f t="shared" si="26"/>
        <v/>
      </c>
      <c r="G134" s="47" t="str">
        <f>IF(B134="","",VLOOKUP($C$4,Param!$A:$I,MATCH(Flujo!$G$14,Param!$A$1:$J$1,0),0)*$C$6)</f>
        <v/>
      </c>
      <c r="H134" s="47" t="str">
        <f>IF(B134="","",IF($C$4="Educativo (LP)",VLOOKUP($C$4,Param!$A$1:$I$4,MATCH(Flujo!$H$14,Param!$A$1:$I$1,0),0),0))</f>
        <v/>
      </c>
      <c r="I134" s="23" t="str">
        <f t="shared" si="20"/>
        <v/>
      </c>
      <c r="J134" s="23" t="str">
        <f t="shared" si="27"/>
        <v/>
      </c>
      <c r="K134" s="23"/>
      <c r="L134" s="28">
        <f t="shared" si="21"/>
        <v>0</v>
      </c>
    </row>
    <row r="135" spans="1:13" s="15" customFormat="1" ht="15" x14ac:dyDescent="0.25">
      <c r="B135" s="15" t="str">
        <f t="shared" si="22"/>
        <v/>
      </c>
      <c r="C135" s="25" t="str">
        <f t="shared" si="23"/>
        <v/>
      </c>
      <c r="D135" s="26" t="str">
        <f t="shared" si="24"/>
        <v/>
      </c>
      <c r="E135" s="26" t="str">
        <f t="shared" si="25"/>
        <v/>
      </c>
      <c r="F135" s="46" t="str">
        <f t="shared" si="26"/>
        <v/>
      </c>
      <c r="G135" s="47" t="str">
        <f>IF(B135="","",VLOOKUP($C$4,Param!$A:$I,MATCH(Flujo!$G$14,Param!$A$1:$J$1,0),0)*$C$6)</f>
        <v/>
      </c>
      <c r="H135" s="47" t="str">
        <f>IF(B135="","",IF($C$4="Educativo (LP)",VLOOKUP($C$4,Param!$A$1:$I$4,MATCH(Flujo!$H$14,Param!$A$1:$I$1,0),0),0))</f>
        <v/>
      </c>
      <c r="I135" s="23" t="str">
        <f t="shared" si="20"/>
        <v/>
      </c>
      <c r="J135" s="23" t="str">
        <f t="shared" si="27"/>
        <v/>
      </c>
      <c r="K135" s="23"/>
      <c r="L135" s="28">
        <f t="shared" si="21"/>
        <v>0</v>
      </c>
    </row>
    <row r="136" spans="1:13" s="15" customFormat="1" ht="15" x14ac:dyDescent="0.25">
      <c r="B136" s="15" t="str">
        <f t="shared" si="22"/>
        <v/>
      </c>
      <c r="C136" s="25" t="str">
        <f t="shared" si="23"/>
        <v/>
      </c>
      <c r="D136" s="26" t="str">
        <f t="shared" si="24"/>
        <v/>
      </c>
      <c r="E136" s="26" t="str">
        <f t="shared" si="25"/>
        <v/>
      </c>
      <c r="F136" s="46" t="str">
        <f t="shared" si="26"/>
        <v/>
      </c>
      <c r="G136" s="47" t="str">
        <f>IF(B136="","",VLOOKUP($C$4,Param!$A:$I,MATCH(Flujo!$G$14,Param!$A$1:$J$1,0),0)*$C$6)</f>
        <v/>
      </c>
      <c r="H136" s="47" t="str">
        <f>IF(B136="","",IF($C$4="Educativo (LP)",VLOOKUP($C$4,Param!$A$1:$I$4,MATCH(Flujo!$H$14,Param!$A$1:$I$1,0),0),0))</f>
        <v/>
      </c>
      <c r="I136" s="23" t="str">
        <f t="shared" si="20"/>
        <v/>
      </c>
      <c r="J136" s="23" t="str">
        <f t="shared" si="27"/>
        <v/>
      </c>
      <c r="K136" s="23"/>
      <c r="L136" s="28">
        <f t="shared" si="21"/>
        <v>0</v>
      </c>
    </row>
    <row r="137" spans="1:13" s="15" customFormat="1" ht="15" x14ac:dyDescent="0.25">
      <c r="C137" s="25"/>
      <c r="D137" s="26"/>
      <c r="E137" s="26"/>
      <c r="F137" s="27"/>
      <c r="G137" s="23"/>
      <c r="H137" s="23"/>
      <c r="I137" s="23"/>
      <c r="J137" s="23"/>
      <c r="K137" s="23"/>
      <c r="L137" s="28"/>
    </row>
    <row r="138" spans="1:13" s="30" customFormat="1" ht="15" x14ac:dyDescent="0.25">
      <c r="A138" s="29" t="s">
        <v>26</v>
      </c>
      <c r="B138" s="29" t="s">
        <v>26</v>
      </c>
      <c r="C138" s="29" t="s">
        <v>26</v>
      </c>
      <c r="D138" s="29" t="s">
        <v>26</v>
      </c>
      <c r="E138" s="29"/>
      <c r="F138" s="29" t="s">
        <v>26</v>
      </c>
      <c r="G138" s="29" t="s">
        <v>26</v>
      </c>
      <c r="H138" s="29"/>
      <c r="I138" s="29" t="s">
        <v>26</v>
      </c>
      <c r="J138" s="29" t="s">
        <v>26</v>
      </c>
      <c r="K138" s="29"/>
      <c r="L138" s="29" t="s">
        <v>26</v>
      </c>
      <c r="M138" s="15"/>
    </row>
  </sheetData>
  <sheetProtection password="FCFC" sheet="1" selectLockedCells="1"/>
  <mergeCells count="1">
    <mergeCell ref="D12:F12"/>
  </mergeCells>
  <conditionalFormatting sqref="L17:L136">
    <cfRule type="expression" dxfId="4" priority="4">
      <formula>L17=0</formula>
    </cfRule>
  </conditionalFormatting>
  <conditionalFormatting sqref="D12 B9:C9">
    <cfRule type="expression" dxfId="3" priority="3">
      <formula>$D$12&lt;&gt;""</formula>
    </cfRule>
  </conditionalFormatting>
  <conditionalFormatting sqref="L19:L137">
    <cfRule type="expression" dxfId="2" priority="2">
      <formula>L19=0</formula>
    </cfRule>
  </conditionalFormatting>
  <conditionalFormatting sqref="L18">
    <cfRule type="expression" dxfId="1" priority="1">
      <formula>L18=0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7CDA-BF33-4CA9-A470-A50AA12BCCF0}">
  <dimension ref="A1:J41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0" defaultRowHeight="15" zeroHeight="1" x14ac:dyDescent="0.25"/>
  <cols>
    <col min="1" max="2" width="1.5703125" customWidth="1"/>
    <col min="3" max="3" width="21.7109375" style="51" customWidth="1"/>
    <col min="4" max="4" width="23.7109375" style="51" customWidth="1"/>
    <col min="5" max="5" width="23.140625" customWidth="1"/>
    <col min="6" max="6" width="27.5703125" customWidth="1"/>
    <col min="7" max="7" width="26" customWidth="1"/>
    <col min="8" max="8" width="6" customWidth="1"/>
    <col min="9" max="10" width="0" hidden="1" customWidth="1"/>
    <col min="11" max="16384" width="11.42578125" hidden="1"/>
  </cols>
  <sheetData>
    <row r="1" spans="3:8" ht="7.5" customHeight="1" x14ac:dyDescent="0.25"/>
    <row r="2" spans="3:8" ht="23.25" x14ac:dyDescent="0.25">
      <c r="C2" s="79" t="s">
        <v>43</v>
      </c>
      <c r="D2" s="79"/>
      <c r="E2" s="79"/>
      <c r="F2" s="79"/>
      <c r="G2" s="79"/>
    </row>
    <row r="3" spans="3:8" ht="9.75" customHeight="1" thickBot="1" x14ac:dyDescent="0.3">
      <c r="C3" s="55"/>
      <c r="D3" s="55"/>
      <c r="E3" s="55"/>
      <c r="F3" s="55"/>
      <c r="G3" s="55"/>
    </row>
    <row r="4" spans="3:8" ht="20.25" thickTop="1" thickBot="1" x14ac:dyDescent="0.3">
      <c r="C4" s="80" t="s">
        <v>35</v>
      </c>
      <c r="D4" s="81"/>
      <c r="F4" s="82" t="s">
        <v>34</v>
      </c>
      <c r="G4" s="83"/>
    </row>
    <row r="5" spans="3:8" ht="27.6" customHeight="1" thickTop="1" thickBot="1" x14ac:dyDescent="0.3">
      <c r="C5" s="69" t="s">
        <v>52</v>
      </c>
      <c r="D5" s="58" t="s">
        <v>51</v>
      </c>
      <c r="F5" s="69" t="s">
        <v>21</v>
      </c>
      <c r="G5" s="66">
        <f>IF($D$5="","",IF($D$6="","",IF($E$7&lt;&gt;"","",$D$6)))</f>
        <v>5000000</v>
      </c>
    </row>
    <row r="6" spans="3:8" ht="27.6" customHeight="1" thickTop="1" thickBot="1" x14ac:dyDescent="0.3">
      <c r="C6" s="69" t="s">
        <v>38</v>
      </c>
      <c r="D6" s="58">
        <v>5000000</v>
      </c>
      <c r="F6" s="76" t="str">
        <f>IF($D$5="Educativo (LP)","Comisión Disponibilidad","Estudio de Crédito")</f>
        <v>Comisión Disponibilidad</v>
      </c>
      <c r="G6" s="66">
        <f>IF($D$5="","",IF($D$6="","",IF($E$7&lt;&gt;"","",IF($D$5="Educativo (LP)",Flujo!$E$9,VLOOKUP(Simulador!$D$5,Param!$A$1:$I$4,4,0)))))</f>
        <v>0</v>
      </c>
    </row>
    <row r="7" spans="3:8" ht="27.6" customHeight="1" thickTop="1" thickBot="1" x14ac:dyDescent="0.3">
      <c r="C7" s="69" t="s">
        <v>39</v>
      </c>
      <c r="D7" s="59">
        <v>60</v>
      </c>
      <c r="E7" s="74" t="str">
        <f>IFERROR(IF(D7&gt;VLOOKUP(Simulador!$D$5,Param!$A$1:$I$4,8,0),"Plazo superior al de pólitica del producto.Recuerde: Libre Inversión y Educativo Largo Plazo máx 60 meses",IF(D7&lt;VLOOKUP(Simulador!$D$5,Param!$A$1:$I$4,7,0),"Plazo Inferior al de pólitica del producto.Recuerde: Libre Inversión y Educativo Largo Plazo min 12 meses,","")),"")</f>
        <v/>
      </c>
      <c r="F7" s="69" t="s">
        <v>23</v>
      </c>
      <c r="G7" s="66">
        <f>IF($D$5="","",IF($E$7&lt;&gt;"","",Flujo!$E$6))</f>
        <v>1474950.8484012194</v>
      </c>
    </row>
    <row r="8" spans="3:8" ht="26.25" hidden="1" customHeight="1" thickTop="1" thickBot="1" x14ac:dyDescent="0.3">
      <c r="C8" s="69" t="s">
        <v>29</v>
      </c>
      <c r="D8" s="60">
        <f ca="1">TODAY()</f>
        <v>44498</v>
      </c>
      <c r="F8" s="70"/>
      <c r="G8" s="67"/>
    </row>
    <row r="9" spans="3:8" ht="27.6" customHeight="1" thickTop="1" thickBot="1" x14ac:dyDescent="0.3">
      <c r="C9" s="69" t="s">
        <v>40</v>
      </c>
      <c r="D9" s="61">
        <v>8.8999999999999999E-3</v>
      </c>
      <c r="F9" s="69" t="s">
        <v>33</v>
      </c>
      <c r="G9" s="66">
        <f>IF($D$5="","",IF($E$7&lt;&gt;"","",Flujo!$E$7))</f>
        <v>765000.00000000012</v>
      </c>
      <c r="H9" s="43"/>
    </row>
    <row r="10" spans="3:8" ht="27.6" customHeight="1" thickTop="1" thickBot="1" x14ac:dyDescent="0.3">
      <c r="C10" s="69" t="s">
        <v>30</v>
      </c>
      <c r="D10" s="65">
        <f>IF($E$7&lt;&gt;"","",((1+D9)^12)-1)</f>
        <v>0.11218610360941228</v>
      </c>
      <c r="F10" s="69" t="s">
        <v>42</v>
      </c>
      <c r="G10" s="66">
        <f>IF($E$7&lt;&gt;"","",SUM(G5:G9))</f>
        <v>7239950.8484012196</v>
      </c>
    </row>
    <row r="11" spans="3:8" ht="26.25" hidden="1" customHeight="1" thickTop="1" thickBot="1" x14ac:dyDescent="0.3">
      <c r="C11" s="53" t="s">
        <v>8</v>
      </c>
      <c r="D11" s="54">
        <f>ROUND(PMT($D$9,D7,-$D$6),0)</f>
        <v>107916</v>
      </c>
      <c r="F11" s="67"/>
      <c r="G11" s="67"/>
    </row>
    <row r="12" spans="3:8" ht="22.9" customHeight="1" thickTop="1" thickBot="1" x14ac:dyDescent="0.3">
      <c r="C12" s="62" t="s">
        <v>41</v>
      </c>
      <c r="D12" s="52"/>
      <c r="F12" s="69" t="s">
        <v>36</v>
      </c>
      <c r="G12" s="68">
        <f>IF($D$5="","",IF($D$6="","",IF($E$7&lt;&gt;"","",Flujo!$E$4)))</f>
        <v>0.16824343217321513</v>
      </c>
    </row>
    <row r="13" spans="3:8" ht="8.25" customHeight="1" thickTop="1" x14ac:dyDescent="0.25">
      <c r="C13" s="62"/>
      <c r="D13" s="52"/>
    </row>
    <row r="14" spans="3:8" x14ac:dyDescent="0.25">
      <c r="C14" s="75" t="s">
        <v>54</v>
      </c>
      <c r="D14" s="52"/>
    </row>
    <row r="15" spans="3:8" ht="24.75" customHeight="1" x14ac:dyDescent="0.25">
      <c r="C15" s="85" t="s">
        <v>55</v>
      </c>
      <c r="D15" s="85"/>
      <c r="E15" s="85"/>
      <c r="F15" s="85"/>
      <c r="G15" s="85"/>
    </row>
    <row r="16" spans="3:8" ht="23.25" customHeight="1" x14ac:dyDescent="0.25">
      <c r="C16" s="85" t="s">
        <v>37</v>
      </c>
      <c r="D16" s="85"/>
      <c r="E16" s="85"/>
      <c r="F16" s="85"/>
      <c r="G16" s="85"/>
    </row>
    <row r="17" spans="3:7" x14ac:dyDescent="0.25">
      <c r="C17" s="85" t="s">
        <v>56</v>
      </c>
      <c r="D17" s="85"/>
      <c r="E17" s="85"/>
      <c r="F17" s="85"/>
      <c r="G17" s="85"/>
    </row>
    <row r="18" spans="3:7" ht="28.5" customHeight="1" x14ac:dyDescent="0.25">
      <c r="C18" s="85" t="s">
        <v>61</v>
      </c>
      <c r="D18" s="85"/>
      <c r="E18" s="85"/>
      <c r="F18" s="85"/>
      <c r="G18" s="85"/>
    </row>
    <row r="19" spans="3:7" x14ac:dyDescent="0.25">
      <c r="C19" s="85" t="s">
        <v>58</v>
      </c>
      <c r="D19" s="85"/>
      <c r="E19" s="85"/>
      <c r="F19" s="85"/>
      <c r="G19" s="85"/>
    </row>
    <row r="20" spans="3:7" x14ac:dyDescent="0.25">
      <c r="C20" s="85" t="s">
        <v>57</v>
      </c>
      <c r="D20" s="85"/>
      <c r="E20" s="85"/>
      <c r="F20" s="85"/>
      <c r="G20" s="85"/>
    </row>
    <row r="21" spans="3:7" ht="24" hidden="1" customHeight="1" x14ac:dyDescent="0.25">
      <c r="C21" s="84"/>
      <c r="D21" s="84"/>
      <c r="E21" s="84"/>
      <c r="F21" s="84"/>
      <c r="G21" s="84"/>
    </row>
    <row r="22" spans="3:7" ht="21" hidden="1" customHeight="1" x14ac:dyDescent="0.25">
      <c r="C22" s="85"/>
      <c r="D22" s="85"/>
      <c r="E22" s="85"/>
      <c r="F22" s="85"/>
      <c r="G22" s="85"/>
    </row>
    <row r="23" spans="3:7" ht="11.25" hidden="1" customHeight="1" x14ac:dyDescent="0.25"/>
    <row r="24" spans="3:7" ht="23.25" hidden="1" customHeight="1" x14ac:dyDescent="0.25"/>
    <row r="25" spans="3:7" ht="23.25" hidden="1" customHeight="1" x14ac:dyDescent="0.25"/>
    <row r="26" spans="3:7" hidden="1" x14ac:dyDescent="0.25"/>
    <row r="27" spans="3:7" hidden="1" x14ac:dyDescent="0.25"/>
    <row r="28" spans="3:7" hidden="1" x14ac:dyDescent="0.25"/>
    <row r="29" spans="3:7" hidden="1" x14ac:dyDescent="0.25"/>
    <row r="30" spans="3:7" hidden="1" x14ac:dyDescent="0.25"/>
    <row r="31" spans="3:7" hidden="1" x14ac:dyDescent="0.25"/>
    <row r="32" spans="3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</sheetData>
  <sheetProtection password="FCFC" sheet="1" objects="1" scenarios="1"/>
  <mergeCells count="11">
    <mergeCell ref="C2:G2"/>
    <mergeCell ref="C4:D4"/>
    <mergeCell ref="F4:G4"/>
    <mergeCell ref="C21:G21"/>
    <mergeCell ref="C22:G22"/>
    <mergeCell ref="C15:G15"/>
    <mergeCell ref="C16:G16"/>
    <mergeCell ref="C17:G17"/>
    <mergeCell ref="C20:G20"/>
    <mergeCell ref="C19:G19"/>
    <mergeCell ref="C18:G18"/>
  </mergeCells>
  <conditionalFormatting sqref="D7:E7">
    <cfRule type="expression" dxfId="0" priority="4">
      <formula>$E$7&lt;&gt;""</formula>
    </cfRule>
  </conditionalFormatting>
  <dataValidations count="5">
    <dataValidation type="list" allowBlank="1" showInputMessage="1" showErrorMessage="1" sqref="E5" xr:uid="{66179D18-1837-4F17-BBFD-F8C43A1C3B48}">
      <formula1>"Privada,Oficial"</formula1>
    </dataValidation>
    <dataValidation type="whole" allowBlank="1" showInputMessage="1" showErrorMessage="1" errorTitle="Error en el plazo" error="Plazo difiere al establecido para el producto" promptTitle="Plazo" prompt="Plazo estimado del crédito_x000a_Libre Inversión. Min. 12 Máx 60_x000a_Educativo Largo Plazo. Min. 12 Máx 60_x000a_Inverprimas. MIn 3 Máx 10" sqref="D7" xr:uid="{7981BD69-BC3C-4C69-8CF3-3AFF8B8A76B9}">
      <formula1>3</formula1>
      <formula2>60</formula2>
    </dataValidation>
    <dataValidation allowBlank="1" showInputMessage="1" showErrorMessage="1" errorTitle="Error en el plazo" error="Plazo supera el establecido para el producto" sqref="E7" xr:uid="{702ADCEA-4402-42F8-A97A-C71C534099AF}"/>
    <dataValidation allowBlank="1" showInputMessage="1" showErrorMessage="1" promptTitle="Valor a Financiar" prompt="Diligencie el valor a financiar en Pesos" sqref="D6" xr:uid="{E2651163-675A-45FC-BCEE-E4A8504BCB80}"/>
    <dataValidation allowBlank="1" showInputMessage="1" showErrorMessage="1" promptTitle="Tasa M.V" prompt="Incluya la tasa de colocación Mes Vencido" sqref="D9" xr:uid="{74E50F70-C977-4E22-BCC6-583FFE8B4459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" prompt="Seleccione el Producto de la lista_x000a_" xr:uid="{293F86C9-2581-493E-9111-4A8FD364C677}">
          <x14:formula1>
            <xm:f>Param!$A$2:$A$3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EDED-A599-45B8-8CDF-EEF4F112F87F}">
  <sheetPr codeName="Hoja7"/>
  <dimension ref="A1:K10"/>
  <sheetViews>
    <sheetView showGridLines="0" topLeftCell="K1" workbookViewId="0">
      <selection activeCell="G9" sqref="G9"/>
    </sheetView>
  </sheetViews>
  <sheetFormatPr baseColWidth="10" defaultColWidth="11.42578125" defaultRowHeight="12" outlineLevelCol="1" x14ac:dyDescent="0.2"/>
  <cols>
    <col min="1" max="1" width="10" style="32" hidden="1" customWidth="1" outlineLevel="1"/>
    <col min="2" max="2" width="7" style="32" hidden="1" customWidth="1" outlineLevel="1"/>
    <col min="3" max="3" width="7.140625" style="32" hidden="1" customWidth="1" outlineLevel="1"/>
    <col min="4" max="5" width="9.42578125" style="32" hidden="1" customWidth="1" outlineLevel="1"/>
    <col min="6" max="7" width="5.28515625" style="32" hidden="1" customWidth="1" outlineLevel="1"/>
    <col min="8" max="8" width="6" style="32" hidden="1" customWidth="1" outlineLevel="1"/>
    <col min="9" max="9" width="13.140625" style="32" hidden="1" customWidth="1" outlineLevel="1"/>
    <col min="10" max="10" width="55.28515625" style="32" hidden="1" customWidth="1" outlineLevel="1"/>
    <col min="11" max="11" width="5.7109375" style="32" customWidth="1" collapsed="1"/>
    <col min="12" max="16384" width="11.42578125" style="32"/>
  </cols>
  <sheetData>
    <row r="1" spans="1:11" ht="38.25" x14ac:dyDescent="0.2">
      <c r="A1" s="31" t="s">
        <v>1</v>
      </c>
      <c r="B1" s="31" t="s">
        <v>2</v>
      </c>
      <c r="C1" s="31" t="s">
        <v>3</v>
      </c>
      <c r="D1" s="31" t="s">
        <v>4</v>
      </c>
      <c r="E1" s="31" t="s">
        <v>50</v>
      </c>
      <c r="F1" s="31" t="s">
        <v>5</v>
      </c>
      <c r="G1" s="31" t="s">
        <v>59</v>
      </c>
      <c r="H1" s="31" t="s">
        <v>6</v>
      </c>
      <c r="I1" s="31" t="s">
        <v>27</v>
      </c>
      <c r="J1" s="31" t="s">
        <v>7</v>
      </c>
    </row>
    <row r="2" spans="1:11" s="41" customFormat="1" x14ac:dyDescent="0.2">
      <c r="A2" s="41" t="s">
        <v>45</v>
      </c>
      <c r="C2" s="33">
        <f>1112/1000000</f>
        <v>1.1119999999999999E-3</v>
      </c>
      <c r="D2" s="36">
        <v>42959</v>
      </c>
      <c r="E2" s="36"/>
      <c r="F2" s="36" t="s">
        <v>10</v>
      </c>
      <c r="G2" s="37">
        <v>12</v>
      </c>
      <c r="H2" s="71">
        <v>60</v>
      </c>
      <c r="I2" s="37"/>
      <c r="J2" s="38" t="s">
        <v>49</v>
      </c>
    </row>
    <row r="3" spans="1:11" s="34" customFormat="1" ht="36" x14ac:dyDescent="0.25">
      <c r="A3" s="34" t="s">
        <v>51</v>
      </c>
      <c r="B3" s="35"/>
      <c r="C3" s="33">
        <f>2550/1000000</f>
        <v>2.5500000000000002E-3</v>
      </c>
      <c r="D3" s="36"/>
      <c r="E3" s="36"/>
      <c r="F3" s="36" t="s">
        <v>46</v>
      </c>
      <c r="G3" s="37">
        <v>12</v>
      </c>
      <c r="H3" s="37">
        <v>60</v>
      </c>
      <c r="I3" s="37"/>
      <c r="J3" s="38" t="s">
        <v>48</v>
      </c>
    </row>
    <row r="4" spans="1:11" s="34" customFormat="1" x14ac:dyDescent="0.25">
      <c r="A4" s="34" t="s">
        <v>44</v>
      </c>
      <c r="B4" s="39"/>
      <c r="C4" s="33">
        <v>0</v>
      </c>
      <c r="D4" s="36">
        <v>1500</v>
      </c>
      <c r="E4" s="36"/>
      <c r="F4" s="36" t="s">
        <v>46</v>
      </c>
      <c r="G4" s="37">
        <v>3</v>
      </c>
      <c r="H4" s="37">
        <v>10</v>
      </c>
      <c r="I4" s="40"/>
      <c r="J4" s="38" t="s">
        <v>47</v>
      </c>
      <c r="K4" s="34" t="s">
        <v>60</v>
      </c>
    </row>
    <row r="5" spans="1:11" s="41" customFormat="1" x14ac:dyDescent="0.2"/>
    <row r="6" spans="1:11" s="41" customFormat="1" x14ac:dyDescent="0.2">
      <c r="D6" s="77"/>
    </row>
    <row r="7" spans="1:11" s="41" customFormat="1" x14ac:dyDescent="0.2"/>
    <row r="8" spans="1:11" s="41" customFormat="1" x14ac:dyDescent="0.2"/>
    <row r="9" spans="1:11" s="41" customFormat="1" x14ac:dyDescent="0.2"/>
    <row r="10" spans="1:11" s="42" customFormat="1" x14ac:dyDescent="0.2"/>
  </sheetData>
  <sheetProtection algorithmName="SHA-512" hashValue="0pDXLHpX+F/7oBlALqWqIYed7Z/Z6uKVb9LdXdSXazpE2McO+ple/EeFP8pA1YH1GJUZJYhaz4gwI/WL6LsCew==" saltValue="7GkF7rgMCA/cDc3gO4S4NQ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Flujo</vt:lpstr>
      <vt:lpstr>Simulador</vt:lpstr>
      <vt:lpstr>Param</vt:lpstr>
      <vt:lpstr>cuota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Torres Gonzalez</dc:creator>
  <cp:lastModifiedBy>Fredy Alexander Tarazona Manrique</cp:lastModifiedBy>
  <dcterms:created xsi:type="dcterms:W3CDTF">2019-10-30T14:58:35Z</dcterms:created>
  <dcterms:modified xsi:type="dcterms:W3CDTF">2021-10-29T20:18:14Z</dcterms:modified>
</cp:coreProperties>
</file>