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B8D70855-096C-41D0-B283-9DED2D5086EB}" xr6:coauthVersionLast="45" xr6:coauthVersionMax="45" xr10:uidLastSave="{00000000-0000-0000-0000-000000000000}"/>
  <workbookProtection workbookAlgorithmName="SHA-512" workbookHashValue="CqQDHbbBCnKS2NbkzZyoSTj39W1emRQkleZproVfmnCYrag6j9Cnb8bMUmT0oGr42Wkk0apqUJRVZ9m8YE2q6w==" workbookSaltValue="avZFvC9gBBFw/namUPR+oA==" workbookSpinCount="100000" lockStructure="1"/>
  <bookViews>
    <workbookView xWindow="-120" yWindow="-120" windowWidth="20730" windowHeight="11160" firstSheet="1" activeTab="1" xr2:uid="{58082822-7E55-42F5-A2E0-1AC0CF6C8A8F}"/>
  </bookViews>
  <sheets>
    <sheet name="Param" sheetId="3" state="hidden" r:id="rId1"/>
    <sheet name="Simulador" sheetId="4" r:id="rId2"/>
    <sheet name="VTU_Rotativo" sheetId="5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 localSheetId="2">[1]Calculo_Cuota!$C$22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0">[1]Param!$E$1:$L$11</definedName>
    <definedName name="Parametro" localSheetId="2">[1]Param!$E$1:$L$11</definedName>
    <definedName name="Parametro">#REF!</definedName>
    <definedName name="Prestaexpress">#REF!</definedName>
    <definedName name="Producto" localSheetId="0">[1]Param!$A$2:$A$6</definedName>
    <definedName name="Producto" localSheetId="2">[1]Param!$A$2:$A$6</definedName>
    <definedName name="Producto">#REF!</definedName>
    <definedName name="seguro_gracia">[1]Calculo_Cuota!$E$21</definedName>
    <definedName name="SMMLV" localSheetId="0">Param!$C$2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G5" i="4" l="1"/>
  <c r="C10" i="5" l="1"/>
  <c r="C9" i="5" s="1"/>
  <c r="C8" i="5"/>
  <c r="C4" i="5"/>
  <c r="C3" i="5"/>
  <c r="F6" i="4"/>
  <c r="C5" i="5" l="1"/>
  <c r="E10" i="5" s="1"/>
  <c r="L23" i="5"/>
  <c r="L24" i="5"/>
  <c r="L25" i="5"/>
  <c r="L26" i="5"/>
  <c r="L27" i="5"/>
  <c r="L28" i="5"/>
  <c r="L17" i="5"/>
  <c r="D8" i="5"/>
  <c r="L18" i="5"/>
  <c r="L19" i="5"/>
  <c r="L20" i="5"/>
  <c r="L21" i="5"/>
  <c r="L22" i="5"/>
  <c r="I28" i="5"/>
  <c r="E9" i="5" s="1"/>
  <c r="H26" i="5"/>
  <c r="H23" i="5"/>
  <c r="C6" i="5"/>
  <c r="E8" i="5" l="1"/>
  <c r="G6" i="4" s="1"/>
  <c r="C7" i="5"/>
  <c r="C16" i="5"/>
  <c r="B17" i="5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C17" i="5" l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D16" i="5"/>
  <c r="E27" i="5" l="1"/>
  <c r="D27" i="5" s="1"/>
  <c r="E25" i="5"/>
  <c r="D25" i="5" s="1"/>
  <c r="N16" i="5"/>
  <c r="E22" i="5"/>
  <c r="D22" i="5" s="1"/>
  <c r="E21" i="5"/>
  <c r="D21" i="5" s="1"/>
  <c r="E19" i="5"/>
  <c r="D19" i="5" s="1"/>
  <c r="E17" i="5"/>
  <c r="D17" i="5" s="1"/>
  <c r="E18" i="5"/>
  <c r="D18" i="5" s="1"/>
  <c r="E26" i="5"/>
  <c r="D26" i="5" s="1"/>
  <c r="O16" i="5"/>
  <c r="E23" i="5"/>
  <c r="D23" i="5" s="1"/>
  <c r="E24" i="5"/>
  <c r="D24" i="5" s="1"/>
  <c r="E20" i="5"/>
  <c r="D20" i="5" s="1"/>
  <c r="N17" i="5" l="1"/>
  <c r="P16" i="5"/>
  <c r="F17" i="5"/>
  <c r="P17" i="5" s="1"/>
  <c r="K17" i="5" s="1"/>
  <c r="D11" i="4"/>
  <c r="N18" i="5" l="1"/>
  <c r="F18" i="5"/>
  <c r="P18" i="5" s="1"/>
  <c r="K18" i="5" s="1"/>
  <c r="G17" i="5"/>
  <c r="G18" i="5"/>
  <c r="D10" i="4"/>
  <c r="D8" i="4"/>
  <c r="M17" i="5" l="1"/>
  <c r="O17" i="5" s="1"/>
  <c r="N19" i="5"/>
  <c r="F19" i="5"/>
  <c r="P19" i="5" s="1"/>
  <c r="K19" i="5" s="1"/>
  <c r="G19" i="5" l="1"/>
  <c r="N20" i="5"/>
  <c r="F20" i="5"/>
  <c r="P20" i="5" s="1"/>
  <c r="K20" i="5" s="1"/>
  <c r="M18" i="5"/>
  <c r="O18" i="5" s="1"/>
  <c r="N21" i="5" l="1"/>
  <c r="F21" i="5"/>
  <c r="G21" i="5" s="1"/>
  <c r="M19" i="5"/>
  <c r="O19" i="5" s="1"/>
  <c r="G20" i="5"/>
  <c r="M20" i="5" s="1"/>
  <c r="P21" i="5" l="1"/>
  <c r="K21" i="5" s="1"/>
  <c r="F22" i="5"/>
  <c r="P22" i="5" s="1"/>
  <c r="K22" i="5" s="1"/>
  <c r="O20" i="5"/>
  <c r="N22" i="5"/>
  <c r="G22" i="5"/>
  <c r="F23" i="5" l="1"/>
  <c r="P23" i="5" s="1"/>
  <c r="K23" i="5" s="1"/>
  <c r="M21" i="5"/>
  <c r="O21" i="5" s="1"/>
  <c r="N23" i="5"/>
  <c r="G23" i="5" l="1"/>
  <c r="M22" i="5"/>
  <c r="O22" i="5" s="1"/>
  <c r="F24" i="5"/>
  <c r="P24" i="5" s="1"/>
  <c r="K24" i="5" s="1"/>
  <c r="N24" i="5"/>
  <c r="M23" i="5"/>
  <c r="G24" i="5" l="1"/>
  <c r="M24" i="5" s="1"/>
  <c r="F25" i="5"/>
  <c r="P25" i="5" s="1"/>
  <c r="K25" i="5" s="1"/>
  <c r="O23" i="5"/>
  <c r="N25" i="5"/>
  <c r="G25" i="5" l="1"/>
  <c r="F26" i="5"/>
  <c r="P26" i="5" s="1"/>
  <c r="K26" i="5" s="1"/>
  <c r="N26" i="5"/>
  <c r="O24" i="5"/>
  <c r="G26" i="5" l="1"/>
  <c r="N27" i="5"/>
  <c r="M25" i="5"/>
  <c r="O25" i="5" s="1"/>
  <c r="F27" i="5"/>
  <c r="G27" i="5" s="1"/>
  <c r="P27" i="5" l="1"/>
  <c r="K27" i="5" s="1"/>
  <c r="M27" i="5" s="1"/>
  <c r="O27" i="5" s="1"/>
  <c r="M26" i="5"/>
  <c r="O26" i="5" s="1"/>
  <c r="F28" i="5"/>
  <c r="P28" i="5" s="1"/>
  <c r="K28" i="5" s="1"/>
  <c r="E28" i="5"/>
  <c r="N28" i="5" s="1"/>
  <c r="E6" i="5" l="1"/>
  <c r="E7" i="5"/>
  <c r="G9" i="4" s="1"/>
  <c r="G7" i="4"/>
  <c r="G28" i="5"/>
  <c r="M28" i="5" l="1"/>
  <c r="O28" i="5" s="1"/>
  <c r="O15" i="5" s="1"/>
  <c r="E4" i="5" s="1"/>
  <c r="G12" i="4" s="1"/>
  <c r="G10" i="4"/>
  <c r="E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Paola Torres Gonzalez</author>
  </authors>
  <commentList>
    <comment ref="D2" authorId="0" shapeId="0" xr:uid="{5F8D541F-89D6-4D30-B530-8CD3708E0B91}">
      <text>
        <r>
          <rPr>
            <b/>
            <sz val="9"/>
            <color indexed="81"/>
            <rFont val="Tahoma"/>
            <family val="2"/>
          </rPr>
          <t>Diana Paola Torres Gonzalez:</t>
        </r>
        <r>
          <rPr>
            <sz val="9"/>
            <color indexed="81"/>
            <rFont val="Tahoma"/>
            <family val="2"/>
          </rPr>
          <t xml:space="preserve">
Clásica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Paola Torres Gonzalez</author>
    <author>Fredy Alexander Tarazona Manrique</author>
  </authors>
  <commentList>
    <comment ref="I14" authorId="0" shapeId="0" xr:uid="{0BAD2646-1BD9-4BBC-BED9-30BDEA134A78}">
      <text>
        <r>
          <rPr>
            <b/>
            <sz val="9"/>
            <color indexed="81"/>
            <rFont val="Tahoma"/>
            <family val="2"/>
          </rPr>
          <t>Tarifas 2020</t>
        </r>
        <r>
          <rPr>
            <sz val="9"/>
            <color indexed="81"/>
            <rFont val="Tahoma"/>
            <family val="2"/>
          </rPr>
          <t xml:space="preserve">
Consulta Saldos Red Propia $0
Avances Red Propia $0
Consulta de Saldos en Otras Redes $5.400</t>
        </r>
      </text>
    </comment>
    <comment ref="K14" authorId="1" shapeId="0" xr:uid="{1BA89953-4543-4FA5-A30E-809294CB73F2}">
      <text>
        <r>
          <rPr>
            <b/>
            <sz val="9"/>
            <color indexed="81"/>
            <rFont val="Tahoma"/>
            <charset val="1"/>
          </rPr>
          <t>Fredy Alexander Tarazona Manrique:</t>
        </r>
        <r>
          <rPr>
            <sz val="9"/>
            <color indexed="81"/>
            <rFont val="Tahoma"/>
            <charset val="1"/>
          </rPr>
          <t xml:space="preserve">
Por la negociacion con Seguros Bolivar a partir del 01/11/2021 la comision se Calcula a partir de la utilizacion o Desembolso</t>
        </r>
      </text>
    </comment>
  </commentList>
</comments>
</file>

<file path=xl/sharedStrings.xml><?xml version="1.0" encoding="utf-8"?>
<sst xmlns="http://schemas.openxmlformats.org/spreadsheetml/2006/main" count="72" uniqueCount="62">
  <si>
    <t>Producto</t>
  </si>
  <si>
    <t>Líneas Negocio</t>
  </si>
  <si>
    <t>Seguro Vida</t>
  </si>
  <si>
    <t>GMF</t>
  </si>
  <si>
    <t>Observación</t>
  </si>
  <si>
    <t>Cuota</t>
  </si>
  <si>
    <t>No</t>
  </si>
  <si>
    <t>Fecha Desembolso</t>
  </si>
  <si>
    <t>Fecha 1 cuota</t>
  </si>
  <si>
    <t>Plazo Meses</t>
  </si>
  <si>
    <t>Valor Tasa EA</t>
  </si>
  <si>
    <t>VTU* ($)</t>
  </si>
  <si>
    <t>Tasa NMV</t>
  </si>
  <si>
    <t>Capital</t>
  </si>
  <si>
    <t>Intereses</t>
  </si>
  <si>
    <t>Fecha Simulación</t>
  </si>
  <si>
    <t>(%) Tasa E.A.</t>
  </si>
  <si>
    <t>Seguro de Vida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</si>
  <si>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</si>
  <si>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</si>
  <si>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</si>
  <si>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</si>
  <si>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Valor a Financiar*</t>
  </si>
  <si>
    <t>(%) Tasa M.V*</t>
  </si>
  <si>
    <t>* Campos a Diligenciar</t>
  </si>
  <si>
    <t>Total VTU en Pesos ($)</t>
  </si>
  <si>
    <t>VTU*</t>
  </si>
  <si>
    <t>Saldo K</t>
  </si>
  <si>
    <t>Total Cuota</t>
  </si>
  <si>
    <t>Comisión disponibilidad</t>
  </si>
  <si>
    <t>Otros Conceptos TC **</t>
  </si>
  <si>
    <t>Cuota Manejo</t>
  </si>
  <si>
    <t>Cuota K+I</t>
  </si>
  <si>
    <t>Interes</t>
  </si>
  <si>
    <t>Desembolso</t>
  </si>
  <si>
    <t>Fecha</t>
  </si>
  <si>
    <t>** Hace referencia a consultas de saldos y avances</t>
  </si>
  <si>
    <t>* Los Valores resultan de una proyección de los ingresos y cobros asociados a la prestación del producto</t>
  </si>
  <si>
    <t>Valor Cupo</t>
  </si>
  <si>
    <t>VTU* E.A.</t>
  </si>
  <si>
    <t>Cantidad SMMLV</t>
  </si>
  <si>
    <t>VTUA Productos Rotativos</t>
  </si>
  <si>
    <t>SMMLV</t>
  </si>
  <si>
    <t>Tarjeta Crédito</t>
  </si>
  <si>
    <t>Trimestre anticipado</t>
  </si>
  <si>
    <t>Avance Otra Red</t>
  </si>
  <si>
    <t>Avance Efectivo Oficina</t>
  </si>
  <si>
    <t>Educativo Rotativo</t>
  </si>
  <si>
    <t>Valor cobrado mensualmente en la cuota del crédito</t>
  </si>
  <si>
    <t>Otros Conceptos</t>
  </si>
  <si>
    <t>Simulador VTU  - Crédito Rotativo</t>
  </si>
  <si>
    <t>Plazo en Meses</t>
  </si>
  <si>
    <t>Producto*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</si>
  <si>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</si>
  <si>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</si>
  <si>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</si>
  <si>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M.V: Corresponde a la tasa mes vencido</t>
  </si>
  <si>
    <t>Tasa E.A: Corresponde a la tasa efectiva anual</t>
  </si>
  <si>
    <t>Cuota de Manejo de tarjeta de crédito clásica</t>
  </si>
  <si>
    <t>Para conocer las condiciones de los cobros de Comisión de disponibilidad, Comisión cuota de manejo y seguro de vida deberá consultar el tarifario vigente dsiponible en la web del Banco www.bancopichincha.com.co</t>
  </si>
  <si>
    <t>Saldo Insoluto</t>
  </si>
  <si>
    <t>6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</si>
</sst>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\ #,##0;[Red]\-&quot;$&quot;\ #,##0"/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0.000%"/>
    <numFmt numFmtId="168" formatCode="_(&quot;$&quot;\ * #,##0_);_(&quot;$&quot;\ * \(#,##0\);_(&quot;$&quot;\ * &quot;-&quot;_);_(@_)"/>
    <numFmt numFmtId="169" formatCode="0.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0"/>
      </right>
      <top style="hair">
        <color auto="1"/>
      </top>
      <bottom/>
      <diagonal/>
    </border>
    <border>
      <left style="hair">
        <color auto="1"/>
      </left>
      <right style="medium">
        <color theme="0"/>
      </right>
      <top/>
      <bottom/>
      <diagonal/>
    </border>
    <border>
      <left style="hair">
        <color auto="1"/>
      </left>
      <right style="medium">
        <color theme="0"/>
      </right>
      <top/>
      <bottom style="hair">
        <color auto="1"/>
      </bottom>
      <diagonal/>
    </border>
  </borders>
  <cellStyleXfs count="9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</cellStyleXfs>
  <cellXfs count="71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4" fillId="0" borderId="0" xfId="1"/>
    <xf numFmtId="0" fontId="8" fillId="0" borderId="0" xfId="1" applyFont="1" applyAlignment="1">
      <alignment horizontal="left" vertical="center"/>
    </xf>
    <xf numFmtId="165" fontId="8" fillId="0" borderId="0" xfId="2" applyNumberFormat="1" applyFont="1" applyAlignment="1">
      <alignment horizontal="center" vertical="center"/>
    </xf>
    <xf numFmtId="165" fontId="8" fillId="0" borderId="0" xfId="2" applyNumberFormat="1" applyFont="1" applyAlignment="1">
      <alignment horizontal="left" vertical="center" wrapText="1"/>
    </xf>
    <xf numFmtId="0" fontId="8" fillId="0" borderId="0" xfId="1" applyFont="1"/>
    <xf numFmtId="0" fontId="4" fillId="0" borderId="0" xfId="1" applyFont="1"/>
    <xf numFmtId="6" fontId="0" fillId="0" borderId="0" xfId="0" applyNumberFormat="1"/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0" fillId="2" borderId="3" xfId="1" applyFont="1" applyFill="1" applyBorder="1" applyAlignment="1" applyProtection="1">
      <alignment horizontal="center" vertical="center" wrapText="1"/>
    </xf>
    <xf numFmtId="6" fontId="11" fillId="4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5" fontId="11" fillId="4" borderId="3" xfId="0" applyNumberFormat="1" applyFont="1" applyFill="1" applyBorder="1" applyAlignment="1" applyProtection="1">
      <alignment horizontal="center" vertical="center"/>
      <protection locked="0"/>
    </xf>
    <xf numFmtId="10" fontId="11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0" fontId="11" fillId="4" borderId="3" xfId="0" applyNumberFormat="1" applyFont="1" applyFill="1" applyBorder="1" applyAlignment="1" applyProtection="1">
      <alignment horizontal="center" vertical="center"/>
      <protection hidden="1"/>
    </xf>
    <xf numFmtId="6" fontId="11" fillId="4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1" fillId="4" borderId="3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10" fillId="2" borderId="3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169" fontId="3" fillId="3" borderId="0" xfId="5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6" fontId="8" fillId="0" borderId="0" xfId="1" applyNumberFormat="1" applyFont="1"/>
    <xf numFmtId="6" fontId="11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164" fontId="15" fillId="0" borderId="1" xfId="6" applyFont="1" applyBorder="1" applyAlignment="1" applyProtection="1">
      <alignment horizontal="center" vertical="center"/>
      <protection hidden="1"/>
    </xf>
    <xf numFmtId="10" fontId="15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6" fontId="15" fillId="0" borderId="1" xfId="6" applyNumberFormat="1" applyFont="1" applyBorder="1" applyAlignment="1" applyProtection="1">
      <alignment horizontal="center" vertical="center"/>
      <protection hidden="1"/>
    </xf>
    <xf numFmtId="0" fontId="15" fillId="0" borderId="1" xfId="0" applyFont="1" applyBorder="1" applyProtection="1">
      <protection hidden="1"/>
    </xf>
    <xf numFmtId="15" fontId="15" fillId="0" borderId="1" xfId="0" applyNumberFormat="1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10" fontId="15" fillId="0" borderId="1" xfId="0" applyNumberFormat="1" applyFont="1" applyFill="1" applyBorder="1" applyAlignment="1" applyProtection="1">
      <alignment horizontal="center" vertical="center"/>
      <protection hidden="1"/>
    </xf>
    <xf numFmtId="6" fontId="0" fillId="0" borderId="0" xfId="0" applyNumberFormat="1" applyProtection="1">
      <protection hidden="1"/>
    </xf>
    <xf numFmtId="0" fontId="6" fillId="0" borderId="0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167" fontId="0" fillId="0" borderId="0" xfId="5" applyNumberFormat="1" applyFont="1" applyProtection="1">
      <protection hidden="1"/>
    </xf>
    <xf numFmtId="1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40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6" fontId="4" fillId="0" borderId="0" xfId="1" applyNumberFormat="1"/>
    <xf numFmtId="10" fontId="15" fillId="0" borderId="6" xfId="0" applyNumberFormat="1" applyFont="1" applyBorder="1" applyAlignment="1" applyProtection="1">
      <alignment horizontal="center"/>
      <protection hidden="1"/>
    </xf>
    <xf numFmtId="4" fontId="15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Protection="1">
      <protection hidden="1"/>
    </xf>
    <xf numFmtId="6" fontId="3" fillId="0" borderId="6" xfId="0" applyNumberFormat="1" applyFont="1" applyBorder="1" applyProtection="1">
      <protection hidden="1"/>
    </xf>
    <xf numFmtId="6" fontId="0" fillId="0" borderId="6" xfId="0" applyNumberFormat="1" applyBorder="1" applyProtection="1"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0" fontId="9" fillId="2" borderId="7" xfId="1" applyFont="1" applyFill="1" applyBorder="1" applyAlignment="1" applyProtection="1">
      <alignment horizontal="center" vertical="center" wrapText="1"/>
      <protection hidden="1"/>
    </xf>
    <xf numFmtId="0" fontId="9" fillId="2" borderId="10" xfId="1" applyFont="1" applyFill="1" applyBorder="1" applyAlignment="1" applyProtection="1">
      <alignment horizontal="center" vertical="center" wrapText="1"/>
      <protection hidden="1"/>
    </xf>
    <xf numFmtId="42" fontId="0" fillId="0" borderId="0" xfId="8" applyFont="1" applyProtection="1">
      <protection hidden="1"/>
    </xf>
    <xf numFmtId="0" fontId="13" fillId="6" borderId="0" xfId="0" applyFont="1" applyFill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6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</cellXfs>
  <cellStyles count="9">
    <cellStyle name="Millares 2" xfId="4" xr:uid="{F3DB3678-EAF6-4CE4-A726-D52A42F79AD5}"/>
    <cellStyle name="Moneda [0]" xfId="8" builtinId="7"/>
    <cellStyle name="Moneda 2" xfId="2" xr:uid="{CAB95C77-1C8C-43CD-AE5C-263EBA8ECE09}"/>
    <cellStyle name="Moneda 3" xfId="6" xr:uid="{23EAFF4D-53FD-4552-9DC6-FD5BB13B7972}"/>
    <cellStyle name="Normal" xfId="0" builtinId="0"/>
    <cellStyle name="Normal 2" xfId="7" xr:uid="{9DEFBCFB-57DE-4772-9686-FA24554079BB}"/>
    <cellStyle name="Normal 3" xfId="1" xr:uid="{4AB896EC-FFC4-4F6F-89DA-B9C776118C9E}"/>
    <cellStyle name="Porcentaje" xfId="5" builtinId="5"/>
    <cellStyle name="Porcentaje 2" xfId="3" xr:uid="{4E48E87D-94AC-4DA5-A1BB-BDF4E7E4F04A}"/>
  </cellStyles>
  <dxfs count="3">
    <dxf>
      <font>
        <color theme="0"/>
      </font>
      <fill>
        <patternFill>
          <bgColor theme="0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0</xdr:rowOff>
    </xdr:from>
    <xdr:ext cx="723901" cy="212178"/>
    <xdr:pic>
      <xdr:nvPicPr>
        <xdr:cNvPr id="2" name="Imagen 1">
          <a:extLst>
            <a:ext uri="{FF2B5EF4-FFF2-40B4-BE49-F238E27FC236}">
              <a16:creationId xmlns:a16="http://schemas.microsoft.com/office/drawing/2014/main" id="{1357529A-6268-4F39-B1CC-3E536F8AF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723901" cy="21217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dor%20VTU%20Ahorro_Corr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Calculo_Cuota"/>
      <sheetName val="Hoja1"/>
      <sheetName val="Normalizacion"/>
      <sheetName val="Param_Libranza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H2">
            <v>8.8999999999999995E-4</v>
          </cell>
          <cell r="J2">
            <v>2800</v>
          </cell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H3">
            <v>8.8999999999999995E-4</v>
          </cell>
          <cell r="I3">
            <v>15000</v>
          </cell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H4">
            <v>8.8999999999999995E-4</v>
          </cell>
          <cell r="J4">
            <v>11150</v>
          </cell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H5">
            <v>1.4300000000000001E-3</v>
          </cell>
          <cell r="I5">
            <v>85850</v>
          </cell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H6">
            <v>1.4300000000000001E-3</v>
          </cell>
          <cell r="I6">
            <v>32400</v>
          </cell>
          <cell r="L6" t="str">
            <v>No</v>
          </cell>
        </row>
        <row r="7">
          <cell r="E7" t="str">
            <v>Vh. Particular</v>
          </cell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C22">
            <v>233612</v>
          </cell>
          <cell r="E22">
            <v>26774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J14"/>
  <sheetViews>
    <sheetView showGridLines="0" topLeftCell="J1" zoomScaleNormal="100" workbookViewId="0">
      <selection activeCell="I3" sqref="I3"/>
    </sheetView>
  </sheetViews>
  <sheetFormatPr baseColWidth="10" defaultColWidth="11.42578125" defaultRowHeight="12" outlineLevelCol="1" x14ac:dyDescent="0.2"/>
  <cols>
    <col min="1" max="2" width="12.42578125" style="2" hidden="1" customWidth="1" outlineLevel="1"/>
    <col min="3" max="3" width="7.85546875" style="2" hidden="1" customWidth="1" outlineLevel="1"/>
    <col min="4" max="4" width="8.140625" style="2" hidden="1" customWidth="1" outlineLevel="1"/>
    <col min="5" max="5" width="4.5703125" style="2" hidden="1" customWidth="1" outlineLevel="1"/>
    <col min="6" max="8" width="14" style="2" hidden="1" customWidth="1" outlineLevel="1"/>
    <col min="9" max="9" width="43" style="2" hidden="1" customWidth="1" outlineLevel="1"/>
    <col min="10" max="10" width="5.7109375" style="2" customWidth="1" collapsed="1"/>
    <col min="11" max="16384" width="11.42578125" style="2"/>
  </cols>
  <sheetData>
    <row r="1" spans="1:9" ht="25.5" x14ac:dyDescent="0.2">
      <c r="A1" s="1" t="s">
        <v>1</v>
      </c>
      <c r="B1" s="1" t="s">
        <v>2</v>
      </c>
      <c r="C1" s="1" t="s">
        <v>42</v>
      </c>
      <c r="D1" s="1" t="s">
        <v>31</v>
      </c>
      <c r="E1" s="1" t="s">
        <v>3</v>
      </c>
      <c r="F1" s="1" t="s">
        <v>45</v>
      </c>
      <c r="G1" s="1" t="s">
        <v>46</v>
      </c>
      <c r="H1" s="1" t="s">
        <v>29</v>
      </c>
      <c r="I1" s="1" t="s">
        <v>4</v>
      </c>
    </row>
    <row r="2" spans="1:9" s="3" customFormat="1" x14ac:dyDescent="0.2">
      <c r="A2" s="3" t="s">
        <v>43</v>
      </c>
      <c r="C2" s="26">
        <v>908526</v>
      </c>
      <c r="D2" s="4">
        <v>57225</v>
      </c>
      <c r="E2" s="4" t="s">
        <v>6</v>
      </c>
      <c r="F2" s="4">
        <v>0</v>
      </c>
      <c r="G2" s="4">
        <v>0</v>
      </c>
      <c r="H2" s="4"/>
      <c r="I2" s="5" t="s">
        <v>44</v>
      </c>
    </row>
    <row r="3" spans="1:9" s="6" customFormat="1" x14ac:dyDescent="0.2">
      <c r="A3" s="6" t="s">
        <v>47</v>
      </c>
      <c r="B3" s="6">
        <f>2550/1000000</f>
        <v>2.5500000000000002E-3</v>
      </c>
      <c r="C3" s="26"/>
      <c r="H3" s="26">
        <v>11543</v>
      </c>
      <c r="I3" s="6" t="s">
        <v>48</v>
      </c>
    </row>
    <row r="4" spans="1:9" s="6" customFormat="1" x14ac:dyDescent="0.2"/>
    <row r="5" spans="1:9" s="6" customFormat="1" x14ac:dyDescent="0.2"/>
    <row r="6" spans="1:9" s="6" customFormat="1" x14ac:dyDescent="0.2"/>
    <row r="7" spans="1:9" s="6" customFormat="1" x14ac:dyDescent="0.2"/>
    <row r="8" spans="1:9" s="7" customFormat="1" x14ac:dyDescent="0.2"/>
    <row r="14" spans="1:9" x14ac:dyDescent="0.2">
      <c r="I14" s="52"/>
    </row>
  </sheetData>
  <sheetProtection algorithmName="SHA-512" hashValue="lsI5xDVULw+IqsI18n2hNT2tX8nUOOA3LHFeLaiwqud40BX2XfB989zFEJrLStxeIUWpIRMS02MBxsDi4Eh5og==" saltValue="BCLxO4N+7USz6VmTTG0euw==" spinCount="100000" sheet="1" select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40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0" defaultRowHeight="15" zeroHeight="1" x14ac:dyDescent="0.25"/>
  <cols>
    <col min="1" max="2" width="1.5703125" customWidth="1"/>
    <col min="3" max="3" width="21.7109375" style="9" customWidth="1"/>
    <col min="4" max="4" width="23.28515625" style="9" customWidth="1"/>
    <col min="5" max="5" width="14.85546875" customWidth="1"/>
    <col min="6" max="6" width="30.1406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8" ht="7.5" customHeight="1" x14ac:dyDescent="0.25"/>
    <row r="2" spans="3:8" ht="23.25" x14ac:dyDescent="0.25">
      <c r="C2" s="64" t="s">
        <v>50</v>
      </c>
      <c r="D2" s="64"/>
      <c r="E2" s="64"/>
      <c r="F2" s="64"/>
      <c r="G2" s="64"/>
    </row>
    <row r="3" spans="3:8" ht="9.75" customHeight="1" thickBot="1" x14ac:dyDescent="0.3">
      <c r="C3" s="13"/>
      <c r="D3" s="13"/>
      <c r="E3" s="13"/>
      <c r="F3" s="13"/>
      <c r="G3" s="13"/>
    </row>
    <row r="4" spans="3:8" ht="20.25" thickTop="1" thickBot="1" x14ac:dyDescent="0.3">
      <c r="C4" s="65" t="s">
        <v>19</v>
      </c>
      <c r="D4" s="66"/>
      <c r="F4" s="65" t="s">
        <v>18</v>
      </c>
      <c r="G4" s="66"/>
    </row>
    <row r="5" spans="3:8" ht="21.75" customHeight="1" thickTop="1" thickBot="1" x14ac:dyDescent="0.3">
      <c r="C5" s="22" t="s">
        <v>52</v>
      </c>
      <c r="D5" s="27" t="s">
        <v>47</v>
      </c>
      <c r="F5" s="22" t="s">
        <v>13</v>
      </c>
      <c r="G5" s="18">
        <f>IF($D$6="","",IF($D$5="","",MID(D6,1,1)*Param!SMMLV))</f>
        <v>5451156</v>
      </c>
    </row>
    <row r="6" spans="3:8" ht="21.75" customHeight="1" thickTop="1" thickBot="1" x14ac:dyDescent="0.3">
      <c r="C6" s="22" t="s">
        <v>22</v>
      </c>
      <c r="D6" s="27" t="s">
        <v>61</v>
      </c>
      <c r="F6" s="22" t="str">
        <f>IF($D$5="Educativo Rotativo", "Comisión Disponibilidad","Cuota de Manejo")</f>
        <v>Comisión Disponibilidad</v>
      </c>
      <c r="G6" s="18">
        <f>IF($D$6="","",VTU_Rotativo!$E$8)</f>
        <v>138516</v>
      </c>
    </row>
    <row r="7" spans="3:8" ht="21.75" customHeight="1" thickTop="1" thickBot="1" x14ac:dyDescent="0.3">
      <c r="C7" s="22" t="s">
        <v>51</v>
      </c>
      <c r="D7" s="28">
        <v>12</v>
      </c>
      <c r="E7" s="21"/>
      <c r="F7" s="22" t="s">
        <v>14</v>
      </c>
      <c r="G7" s="18">
        <f>IF($D$5="","",VTU_Rotativo!$E$6)</f>
        <v>804590.62560000026</v>
      </c>
    </row>
    <row r="8" spans="3:8" ht="26.25" hidden="1" customHeight="1" thickTop="1" thickBot="1" x14ac:dyDescent="0.3">
      <c r="C8" s="22" t="s">
        <v>15</v>
      </c>
      <c r="D8" s="14">
        <f ca="1">TODAY()</f>
        <v>44498</v>
      </c>
      <c r="F8" s="23"/>
      <c r="G8" s="19"/>
    </row>
    <row r="9" spans="3:8" ht="21.75" customHeight="1" thickTop="1" thickBot="1" x14ac:dyDescent="0.3">
      <c r="C9" s="22" t="s">
        <v>23</v>
      </c>
      <c r="D9" s="15">
        <v>1.23E-2</v>
      </c>
      <c r="F9" s="22" t="s">
        <v>17</v>
      </c>
      <c r="G9" s="18">
        <f>IF($D$5="","",VTU_Rotativo!$E$7)</f>
        <v>166805.37359999996</v>
      </c>
      <c r="H9" s="8"/>
    </row>
    <row r="10" spans="3:8" ht="21.75" customHeight="1" thickTop="1" thickBot="1" x14ac:dyDescent="0.3">
      <c r="C10" s="22" t="s">
        <v>16</v>
      </c>
      <c r="D10" s="17">
        <f>((1+D9)^12)-1</f>
        <v>0.15800608683458517</v>
      </c>
      <c r="F10" s="22" t="s">
        <v>25</v>
      </c>
      <c r="G10" s="18">
        <f>SUM(G5:G9)</f>
        <v>6561067.9991999995</v>
      </c>
    </row>
    <row r="11" spans="3:8" ht="26.25" hidden="1" customHeight="1" thickTop="1" thickBot="1" x14ac:dyDescent="0.3">
      <c r="C11" s="11" t="s">
        <v>5</v>
      </c>
      <c r="D11" s="12" t="e">
        <f>ROUND(PMT($D$9,D7,-$D$6),0)</f>
        <v>#VALUE!</v>
      </c>
    </row>
    <row r="12" spans="3:8" ht="16.5" customHeight="1" thickTop="1" thickBot="1" x14ac:dyDescent="0.3">
      <c r="C12" s="16" t="s">
        <v>24</v>
      </c>
      <c r="D12" s="10"/>
      <c r="F12" s="22" t="s">
        <v>20</v>
      </c>
      <c r="G12" s="20">
        <f>IF($D$6="","",IF($D$5="","",VTU_Rotativo!$E$4))</f>
        <v>0.22372844565716088</v>
      </c>
    </row>
    <row r="13" spans="3:8" ht="9" customHeight="1" thickTop="1" x14ac:dyDescent="0.25">
      <c r="C13" s="16"/>
      <c r="D13" s="10"/>
    </row>
    <row r="14" spans="3:8" x14ac:dyDescent="0.25">
      <c r="C14" s="29" t="s">
        <v>53</v>
      </c>
      <c r="D14" s="10"/>
    </row>
    <row r="15" spans="3:8" ht="22.5" customHeight="1" x14ac:dyDescent="0.25">
      <c r="C15" s="67" t="s">
        <v>54</v>
      </c>
      <c r="D15" s="67"/>
      <c r="E15" s="67"/>
      <c r="F15" s="67"/>
      <c r="G15" s="67"/>
    </row>
    <row r="16" spans="3:8" ht="21.75" customHeight="1" x14ac:dyDescent="0.25">
      <c r="C16" s="67" t="s">
        <v>21</v>
      </c>
      <c r="D16" s="67"/>
      <c r="E16" s="67"/>
      <c r="F16" s="67"/>
      <c r="G16" s="67"/>
    </row>
    <row r="17" spans="3:7" x14ac:dyDescent="0.25">
      <c r="C17" s="67" t="s">
        <v>55</v>
      </c>
      <c r="D17" s="67"/>
      <c r="E17" s="67"/>
      <c r="F17" s="67"/>
      <c r="G17" s="67"/>
    </row>
    <row r="18" spans="3:7" x14ac:dyDescent="0.25">
      <c r="C18" s="67" t="s">
        <v>58</v>
      </c>
      <c r="D18" s="67"/>
      <c r="E18" s="67"/>
      <c r="F18" s="67"/>
      <c r="G18" s="67"/>
    </row>
    <row r="19" spans="3:7" ht="28.5" customHeight="1" x14ac:dyDescent="0.25">
      <c r="C19" s="67" t="s">
        <v>59</v>
      </c>
      <c r="D19" s="67"/>
      <c r="E19" s="67"/>
      <c r="F19" s="67"/>
      <c r="G19" s="67"/>
    </row>
    <row r="20" spans="3:7" x14ac:dyDescent="0.25">
      <c r="C20" s="67" t="s">
        <v>56</v>
      </c>
      <c r="D20" s="67"/>
      <c r="E20" s="67"/>
      <c r="F20" s="67"/>
      <c r="G20" s="67"/>
    </row>
    <row r="21" spans="3:7" x14ac:dyDescent="0.25">
      <c r="C21" s="67" t="s">
        <v>57</v>
      </c>
      <c r="D21" s="67"/>
      <c r="E21" s="67"/>
      <c r="F21" s="67"/>
      <c r="G21" s="67"/>
    </row>
    <row r="22" spans="3:7" ht="6.75" customHeight="1" x14ac:dyDescent="0.25"/>
    <row r="23" spans="3:7" ht="23.25" hidden="1" customHeight="1" x14ac:dyDescent="0.25"/>
    <row r="24" spans="3:7" ht="23.25" hidden="1" customHeight="1" x14ac:dyDescent="0.25"/>
    <row r="25" spans="3:7" hidden="1" x14ac:dyDescent="0.25"/>
    <row r="26" spans="3:7" hidden="1" x14ac:dyDescent="0.25"/>
    <row r="27" spans="3:7" hidden="1" x14ac:dyDescent="0.25"/>
    <row r="28" spans="3:7" hidden="1" x14ac:dyDescent="0.25"/>
    <row r="29" spans="3:7" hidden="1" x14ac:dyDescent="0.25"/>
    <row r="30" spans="3:7" hidden="1" x14ac:dyDescent="0.25"/>
    <row r="31" spans="3:7" hidden="1" x14ac:dyDescent="0.25"/>
    <row r="32" spans="3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algorithmName="SHA-512" hashValue="XskMgpKCjoow/lFY0T68PJWJD7SolXILUeSRFvKWxjdD29Al3GKH6OpF1g5V0WkbDC12n57+L2KU8+7Izi+c3w==" saltValue="nHZ7O2J3yYBnZ8+HCGN/zw==" spinCount="100000" sheet="1" objects="1" scenarios="1"/>
  <mergeCells count="10">
    <mergeCell ref="C2:G2"/>
    <mergeCell ref="C4:D4"/>
    <mergeCell ref="F4:G4"/>
    <mergeCell ref="C21:G21"/>
    <mergeCell ref="C15:G15"/>
    <mergeCell ref="C16:G16"/>
    <mergeCell ref="C17:G17"/>
    <mergeCell ref="C20:G20"/>
    <mergeCell ref="C19:G19"/>
    <mergeCell ref="C18:G18"/>
  </mergeCells>
  <conditionalFormatting sqref="D7:E7">
    <cfRule type="expression" dxfId="2" priority="4">
      <formula>$E$7&lt;&gt;""</formula>
    </cfRule>
  </conditionalFormatting>
  <dataValidations count="5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supera el establecido para el producto" sqref="D7" xr:uid="{7981BD69-BC3C-4C69-8CF3-3AFF8B8A76B9}">
      <formula1>1</formula1>
      <formula2>72</formula2>
    </dataValidation>
    <dataValidation allowBlank="1" showInputMessage="1" showErrorMessage="1" errorTitle="Error en el plazo" error="Plazo supera el establecido para el producto" sqref="E7" xr:uid="{702ADCEA-4402-42F8-A97A-C71C534099AF}"/>
    <dataValidation type="list" allowBlank="1" showInputMessage="1" showErrorMessage="1" promptTitle="Valor a Financiar" prompt="Seleccione el valor a financiar en Pesos" sqref="D6" xr:uid="{E2651163-675A-45FC-BCEE-E4A8504BCB80}">
      <formula1>"2 SMMLV,6 SMMLV"</formula1>
    </dataValidation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roducto" prompt="Seleccione el producto" xr:uid="{E49B8460-8155-4B18-B85C-987581DFEA61}">
          <x14:formula1>
            <xm:f>Param!$A$2:$A$3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31FF-59B9-49AC-97FF-57806C291430}">
  <sheetPr codeName="Hoja9"/>
  <dimension ref="A2:U29"/>
  <sheetViews>
    <sheetView showGridLines="0" topLeftCell="S1" zoomScale="90" zoomScaleNormal="90" workbookViewId="0">
      <selection activeCell="K14" sqref="K14"/>
    </sheetView>
  </sheetViews>
  <sheetFormatPr baseColWidth="10" defaultColWidth="11.42578125" defaultRowHeight="15" outlineLevelCol="1" x14ac:dyDescent="0.25"/>
  <cols>
    <col min="1" max="1" width="2" style="19" hidden="1" customWidth="1" outlineLevel="1"/>
    <col min="2" max="2" width="15.7109375" style="19" hidden="1" customWidth="1" outlineLevel="1"/>
    <col min="3" max="3" width="14.5703125" style="19" hidden="1" customWidth="1" outlineLevel="1"/>
    <col min="4" max="4" width="18.7109375" style="19" hidden="1" customWidth="1" outlineLevel="1"/>
    <col min="5" max="5" width="12.7109375" style="19" hidden="1" customWidth="1" outlineLevel="1"/>
    <col min="6" max="6" width="14.7109375" style="19" hidden="1" customWidth="1" outlineLevel="1"/>
    <col min="7" max="7" width="13.7109375" style="19" hidden="1" customWidth="1" outlineLevel="1"/>
    <col min="8" max="8" width="10.140625" style="19" hidden="1" customWidth="1" outlineLevel="1"/>
    <col min="9" max="9" width="13.5703125" style="19" hidden="1" customWidth="1" outlineLevel="1"/>
    <col min="10" max="12" width="12.42578125" style="19" hidden="1" customWidth="1" outlineLevel="1"/>
    <col min="13" max="13" width="12.7109375" style="19" hidden="1" customWidth="1" outlineLevel="1"/>
    <col min="14" max="14" width="15.42578125" style="19" hidden="1" customWidth="1" outlineLevel="1"/>
    <col min="15" max="15" width="13.140625" style="19" hidden="1" customWidth="1" outlineLevel="1"/>
    <col min="16" max="16" width="14.28515625" style="19" hidden="1" customWidth="1" outlineLevel="1"/>
    <col min="17" max="18" width="0" style="19" hidden="1" customWidth="1" outlineLevel="1"/>
    <col min="19" max="19" width="11.42578125" style="19" collapsed="1"/>
    <col min="20" max="16384" width="11.42578125" style="19"/>
  </cols>
  <sheetData>
    <row r="2" spans="2:18" ht="15.75" x14ac:dyDescent="0.25">
      <c r="B2" s="68" t="s">
        <v>41</v>
      </c>
      <c r="C2" s="68"/>
      <c r="D2" s="68"/>
      <c r="E2" s="68"/>
    </row>
    <row r="3" spans="2:18" x14ac:dyDescent="0.25">
      <c r="B3" s="30" t="s">
        <v>0</v>
      </c>
      <c r="C3" s="69" t="str">
        <f>+Simulador!$D$5</f>
        <v>Educativo Rotativo</v>
      </c>
      <c r="D3" s="70"/>
      <c r="E3" s="70"/>
    </row>
    <row r="4" spans="2:18" x14ac:dyDescent="0.25">
      <c r="B4" s="31" t="s">
        <v>40</v>
      </c>
      <c r="C4" s="32" t="str">
        <f>+Simulador!$D$6</f>
        <v>6 SMMLV</v>
      </c>
      <c r="D4" s="58" t="s">
        <v>39</v>
      </c>
      <c r="E4" s="53">
        <f>((1+$O$15)^12)-1</f>
        <v>0.22372844565716088</v>
      </c>
      <c r="F4" s="34"/>
      <c r="G4" s="34"/>
      <c r="H4" s="34"/>
      <c r="I4" s="34"/>
      <c r="J4" s="34"/>
      <c r="K4" s="34"/>
      <c r="L4" s="34"/>
      <c r="M4" s="34"/>
    </row>
    <row r="5" spans="2:18" x14ac:dyDescent="0.25">
      <c r="B5" s="31" t="s">
        <v>38</v>
      </c>
      <c r="C5" s="35">
        <f>MID(C4,1,1)*Param!SMMLV</f>
        <v>5451156</v>
      </c>
      <c r="D5" s="59" t="s">
        <v>11</v>
      </c>
      <c r="E5" s="54">
        <f>SUM(O17:O28)</f>
        <v>6561067.9992000004</v>
      </c>
    </row>
    <row r="6" spans="2:18" x14ac:dyDescent="0.25">
      <c r="B6" s="36" t="s">
        <v>7</v>
      </c>
      <c r="C6" s="37">
        <f ca="1">TODAY()</f>
        <v>44498</v>
      </c>
      <c r="D6" s="60" t="s">
        <v>14</v>
      </c>
      <c r="E6" s="55">
        <f>SUM(F17:F28)</f>
        <v>804590.62560000026</v>
      </c>
    </row>
    <row r="7" spans="2:18" x14ac:dyDescent="0.25">
      <c r="B7" s="36" t="s">
        <v>8</v>
      </c>
      <c r="C7" s="37">
        <f ca="1">EDATE(C6,1)</f>
        <v>44529</v>
      </c>
      <c r="D7" s="60" t="s">
        <v>2</v>
      </c>
      <c r="E7" s="56">
        <f>SUM(K17:K28)</f>
        <v>166805.37359999996</v>
      </c>
    </row>
    <row r="8" spans="2:18" x14ac:dyDescent="0.25">
      <c r="B8" s="38" t="s">
        <v>9</v>
      </c>
      <c r="C8" s="39">
        <f>+Simulador!$D$7</f>
        <v>12</v>
      </c>
      <c r="D8" s="61" t="str">
        <f>IF($C$3="Educativo Rotativo", "Comisión Disponibilidad","Cuota de Manejo")</f>
        <v>Comisión Disponibilidad</v>
      </c>
      <c r="E8" s="55">
        <f>IF($C$3="Educativo Rotativo",SUM($L$17:$L$28),SUM($H$17:$H$28))</f>
        <v>138516</v>
      </c>
    </row>
    <row r="9" spans="2:18" x14ac:dyDescent="0.25">
      <c r="B9" s="36" t="s">
        <v>10</v>
      </c>
      <c r="C9" s="33">
        <f>((1+C10)^12)-1</f>
        <v>0.15800608683458517</v>
      </c>
      <c r="D9" s="61" t="s">
        <v>49</v>
      </c>
      <c r="E9" s="55">
        <f>SUM(I17:I28)</f>
        <v>0</v>
      </c>
    </row>
    <row r="10" spans="2:18" x14ac:dyDescent="0.25">
      <c r="B10" s="36" t="s">
        <v>12</v>
      </c>
      <c r="C10" s="40">
        <f>+Simulador!$D$9</f>
        <v>1.23E-2</v>
      </c>
      <c r="D10" s="62" t="s">
        <v>13</v>
      </c>
      <c r="E10" s="57">
        <f>+$C$5</f>
        <v>5451156</v>
      </c>
    </row>
    <row r="11" spans="2:18" ht="9" customHeight="1" x14ac:dyDescent="0.25"/>
    <row r="12" spans="2:18" ht="9" customHeight="1" x14ac:dyDescent="0.25">
      <c r="B12" s="42" t="s">
        <v>37</v>
      </c>
    </row>
    <row r="13" spans="2:18" ht="9" customHeight="1" x14ac:dyDescent="0.25">
      <c r="B13" s="42" t="s">
        <v>36</v>
      </c>
    </row>
    <row r="14" spans="2:18" ht="24.75" customHeight="1" x14ac:dyDescent="0.25">
      <c r="B14" s="43" t="s">
        <v>5</v>
      </c>
      <c r="C14" s="43" t="s">
        <v>35</v>
      </c>
      <c r="D14" s="43" t="s">
        <v>34</v>
      </c>
      <c r="E14" s="43" t="s">
        <v>13</v>
      </c>
      <c r="F14" s="43" t="s">
        <v>33</v>
      </c>
      <c r="G14" s="43" t="s">
        <v>32</v>
      </c>
      <c r="H14" s="43" t="s">
        <v>31</v>
      </c>
      <c r="I14" s="44" t="s">
        <v>30</v>
      </c>
      <c r="J14" s="43" t="s">
        <v>3</v>
      </c>
      <c r="K14" s="43" t="s">
        <v>2</v>
      </c>
      <c r="L14" s="44" t="s">
        <v>29</v>
      </c>
      <c r="M14" s="43" t="s">
        <v>28</v>
      </c>
      <c r="N14" s="43" t="s">
        <v>27</v>
      </c>
      <c r="O14" s="25" t="s">
        <v>26</v>
      </c>
      <c r="P14" s="43" t="s">
        <v>60</v>
      </c>
    </row>
    <row r="15" spans="2:18" x14ac:dyDescent="0.2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24">
        <f>IRR(O16:O28)</f>
        <v>1.6967532501362959E-2</v>
      </c>
      <c r="P15" s="43"/>
      <c r="Q15" s="45"/>
      <c r="R15" s="45"/>
    </row>
    <row r="16" spans="2:18" x14ac:dyDescent="0.25">
      <c r="B16" s="19">
        <v>0</v>
      </c>
      <c r="C16" s="46">
        <f ca="1">+C6</f>
        <v>44498</v>
      </c>
      <c r="D16" s="47">
        <f>$C$5</f>
        <v>5451156</v>
      </c>
      <c r="N16" s="47">
        <f>+D16</f>
        <v>5451156</v>
      </c>
      <c r="O16" s="48">
        <f>-D16</f>
        <v>-5451156</v>
      </c>
      <c r="P16" s="63">
        <f>+N16</f>
        <v>5451156</v>
      </c>
    </row>
    <row r="17" spans="2:21" x14ac:dyDescent="0.25">
      <c r="B17" s="19">
        <f t="shared" ref="B17:B28" si="0">+B16+1</f>
        <v>1</v>
      </c>
      <c r="C17" s="46">
        <f ca="1">+C7</f>
        <v>44529</v>
      </c>
      <c r="D17" s="49">
        <f t="shared" ref="D17:D27" si="1">+E17</f>
        <v>454263</v>
      </c>
      <c r="E17" s="49">
        <f t="shared" ref="E17:E26" si="2">$D$16/$C$8</f>
        <v>454263</v>
      </c>
      <c r="F17" s="49">
        <f t="shared" ref="F17:F27" si="3">(N16*$C$10)</f>
        <v>67049.218800000002</v>
      </c>
      <c r="G17" s="49">
        <f>SUM(E17:F17)</f>
        <v>521312.21880000003</v>
      </c>
      <c r="H17" s="49"/>
      <c r="I17" s="49"/>
      <c r="J17" s="49"/>
      <c r="K17" s="41">
        <f>IF($C$3="Educativo Rotativo",VLOOKUP($C$3,Param!$A:$I,MATCH(VTU_Rotativo!$K$14,Param!$1:$1,0),0)*$N16,VLOOKUP($C$3,Param!$A:$I,MATCH(VTU_Rotativo!$K$14,Param!$1:$1,0),0)*$P17)</f>
        <v>13900.447800000002</v>
      </c>
      <c r="L17" s="49">
        <f>VLOOKUP($C$3,Param!$A:$I,MATCH(VTU_Rotativo!$L$14,Param!$1:$1,0),0)</f>
        <v>11543</v>
      </c>
      <c r="M17" s="49">
        <f t="shared" ref="M17:M25" si="4">SUM(G17:L17)</f>
        <v>546755.6666</v>
      </c>
      <c r="N17" s="49">
        <f t="shared" ref="N17:N28" si="5">+N16-E17+D17</f>
        <v>5451156</v>
      </c>
      <c r="O17" s="48">
        <f t="shared" ref="O17:O27" si="6">+M17-D17</f>
        <v>92492.666599999997</v>
      </c>
      <c r="P17" s="49">
        <f t="shared" ref="P17:P28" si="7">+N16+F17+L17</f>
        <v>5529748.2187999999</v>
      </c>
    </row>
    <row r="18" spans="2:21" x14ac:dyDescent="0.25">
      <c r="B18" s="19">
        <f t="shared" si="0"/>
        <v>2</v>
      </c>
      <c r="C18" s="46">
        <f t="shared" ref="C18:C28" ca="1" si="8">EDATE(C17,1)</f>
        <v>44559</v>
      </c>
      <c r="D18" s="49">
        <f t="shared" si="1"/>
        <v>454263</v>
      </c>
      <c r="E18" s="49">
        <f t="shared" si="2"/>
        <v>454263</v>
      </c>
      <c r="F18" s="49">
        <f t="shared" ref="F18:F26" si="9">(N17*$C$10)</f>
        <v>67049.218800000002</v>
      </c>
      <c r="G18" s="49">
        <f>SUM(E18:F18)</f>
        <v>521312.21880000003</v>
      </c>
      <c r="H18" s="49"/>
      <c r="I18" s="49"/>
      <c r="J18" s="49"/>
      <c r="K18" s="41">
        <f>IF($C$3="Educativo Rotativo",VLOOKUP($C$3,Param!$A:$I,MATCH(VTU_Rotativo!$K$14,Param!$1:$1,0),0)*$N17,VLOOKUP($C$3,Param!$A:$I,MATCH(VTU_Rotativo!$K$14,Param!$1:$1,0),0)*$P18)</f>
        <v>13900.447800000002</v>
      </c>
      <c r="L18" s="49">
        <f>VLOOKUP($C$3,Param!$A:$I,MATCH(VTU_Rotativo!$L$14,Param!$1:$1,0),0)</f>
        <v>11543</v>
      </c>
      <c r="M18" s="49">
        <f t="shared" si="4"/>
        <v>546755.6666</v>
      </c>
      <c r="N18" s="49">
        <f t="shared" si="5"/>
        <v>5451156</v>
      </c>
      <c r="O18" s="48">
        <f t="shared" si="6"/>
        <v>92492.666599999997</v>
      </c>
      <c r="P18" s="49">
        <f t="shared" si="7"/>
        <v>5529748.2187999999</v>
      </c>
    </row>
    <row r="19" spans="2:21" x14ac:dyDescent="0.25">
      <c r="B19" s="19">
        <f t="shared" si="0"/>
        <v>3</v>
      </c>
      <c r="C19" s="46">
        <f t="shared" ca="1" si="8"/>
        <v>44590</v>
      </c>
      <c r="D19" s="49">
        <f t="shared" si="1"/>
        <v>454263</v>
      </c>
      <c r="E19" s="49">
        <f t="shared" si="2"/>
        <v>454263</v>
      </c>
      <c r="F19" s="49">
        <f t="shared" si="9"/>
        <v>67049.218800000002</v>
      </c>
      <c r="G19" s="49">
        <f t="shared" ref="G19:G28" si="10">SUM(E19:F19)</f>
        <v>521312.21880000003</v>
      </c>
      <c r="H19" s="49"/>
      <c r="I19" s="49"/>
      <c r="J19" s="49"/>
      <c r="K19" s="41">
        <f>IF($C$3="Educativo Rotativo",VLOOKUP($C$3,Param!$A:$I,MATCH(VTU_Rotativo!$K$14,Param!$1:$1,0),0)*$N18,VLOOKUP($C$3,Param!$A:$I,MATCH(VTU_Rotativo!$K$14,Param!$1:$1,0),0)*$P19)</f>
        <v>13900.447800000002</v>
      </c>
      <c r="L19" s="49">
        <f>VLOOKUP($C$3,Param!$A:$I,MATCH(VTU_Rotativo!$L$14,Param!$1:$1,0),0)</f>
        <v>11543</v>
      </c>
      <c r="M19" s="49">
        <f t="shared" si="4"/>
        <v>546755.6666</v>
      </c>
      <c r="N19" s="49">
        <f t="shared" si="5"/>
        <v>5451156</v>
      </c>
      <c r="O19" s="48">
        <f t="shared" si="6"/>
        <v>92492.666599999997</v>
      </c>
      <c r="P19" s="49">
        <f t="shared" si="7"/>
        <v>5529748.2187999999</v>
      </c>
    </row>
    <row r="20" spans="2:21" x14ac:dyDescent="0.25">
      <c r="B20" s="19">
        <f t="shared" si="0"/>
        <v>4</v>
      </c>
      <c r="C20" s="46">
        <f t="shared" ca="1" si="8"/>
        <v>44620</v>
      </c>
      <c r="D20" s="49">
        <f t="shared" si="1"/>
        <v>454263</v>
      </c>
      <c r="E20" s="49">
        <f t="shared" si="2"/>
        <v>454263</v>
      </c>
      <c r="F20" s="49">
        <f t="shared" si="9"/>
        <v>67049.218800000002</v>
      </c>
      <c r="G20" s="49">
        <f t="shared" si="10"/>
        <v>521312.21880000003</v>
      </c>
      <c r="H20" s="49"/>
      <c r="I20" s="49"/>
      <c r="J20" s="49"/>
      <c r="K20" s="41">
        <f>IF($C$3="Educativo Rotativo",VLOOKUP($C$3,Param!$A:$I,MATCH(VTU_Rotativo!$K$14,Param!$1:$1,0),0)*$N19,VLOOKUP($C$3,Param!$A:$I,MATCH(VTU_Rotativo!$K$14,Param!$1:$1,0),0)*$P20)</f>
        <v>13900.447800000002</v>
      </c>
      <c r="L20" s="49">
        <f>VLOOKUP($C$3,Param!$A:$I,MATCH(VTU_Rotativo!$L$14,Param!$1:$1,0),0)</f>
        <v>11543</v>
      </c>
      <c r="M20" s="49">
        <f t="shared" si="4"/>
        <v>546755.6666</v>
      </c>
      <c r="N20" s="49">
        <f t="shared" si="5"/>
        <v>5451156</v>
      </c>
      <c r="O20" s="48">
        <f t="shared" si="6"/>
        <v>92492.666599999997</v>
      </c>
      <c r="P20" s="49">
        <f t="shared" si="7"/>
        <v>5529748.2187999999</v>
      </c>
    </row>
    <row r="21" spans="2:21" x14ac:dyDescent="0.25">
      <c r="B21" s="19">
        <f t="shared" si="0"/>
        <v>5</v>
      </c>
      <c r="C21" s="46">
        <f t="shared" ca="1" si="8"/>
        <v>44648</v>
      </c>
      <c r="D21" s="49">
        <f t="shared" si="1"/>
        <v>454263</v>
      </c>
      <c r="E21" s="49">
        <f>$D$16/$C$8</f>
        <v>454263</v>
      </c>
      <c r="F21" s="49">
        <f t="shared" si="9"/>
        <v>67049.218800000002</v>
      </c>
      <c r="G21" s="49">
        <f t="shared" si="10"/>
        <v>521312.21880000003</v>
      </c>
      <c r="H21" s="49"/>
      <c r="I21" s="49"/>
      <c r="J21" s="49"/>
      <c r="K21" s="41">
        <f>IF($C$3="Educativo Rotativo",VLOOKUP($C$3,Param!$A:$I,MATCH(VTU_Rotativo!$K$14,Param!$1:$1,0),0)*$N20,VLOOKUP($C$3,Param!$A:$I,MATCH(VTU_Rotativo!$K$14,Param!$1:$1,0),0)*$P21)</f>
        <v>13900.447800000002</v>
      </c>
      <c r="L21" s="49">
        <f>VLOOKUP($C$3,Param!$A:$I,MATCH(VTU_Rotativo!$L$14,Param!$1:$1,0),0)</f>
        <v>11543</v>
      </c>
      <c r="M21" s="49">
        <f t="shared" si="4"/>
        <v>546755.6666</v>
      </c>
      <c r="N21" s="49">
        <f t="shared" si="5"/>
        <v>5451156</v>
      </c>
      <c r="O21" s="48">
        <f t="shared" si="6"/>
        <v>92492.666599999997</v>
      </c>
      <c r="P21" s="49">
        <f t="shared" si="7"/>
        <v>5529748.2187999999</v>
      </c>
    </row>
    <row r="22" spans="2:21" x14ac:dyDescent="0.25">
      <c r="B22" s="19">
        <f t="shared" si="0"/>
        <v>6</v>
      </c>
      <c r="C22" s="46">
        <f t="shared" ca="1" si="8"/>
        <v>44679</v>
      </c>
      <c r="D22" s="49">
        <f t="shared" si="1"/>
        <v>454263</v>
      </c>
      <c r="E22" s="49">
        <f>$D$16/$C$8</f>
        <v>454263</v>
      </c>
      <c r="F22" s="49">
        <f t="shared" si="9"/>
        <v>67049.218800000002</v>
      </c>
      <c r="G22" s="49">
        <f t="shared" si="10"/>
        <v>521312.21880000003</v>
      </c>
      <c r="H22" s="49"/>
      <c r="I22" s="49"/>
      <c r="J22" s="49"/>
      <c r="K22" s="41">
        <f>IF($C$3="Educativo Rotativo",VLOOKUP($C$3,Param!$A:$I,MATCH(VTU_Rotativo!$K$14,Param!$1:$1,0),0)*$N21,VLOOKUP($C$3,Param!$A:$I,MATCH(VTU_Rotativo!$K$14,Param!$1:$1,0),0)*$P22)</f>
        <v>13900.447800000002</v>
      </c>
      <c r="L22" s="49">
        <f>VLOOKUP($C$3,Param!$A:$I,MATCH(VTU_Rotativo!$L$14,Param!$1:$1,0),0)</f>
        <v>11543</v>
      </c>
      <c r="M22" s="49">
        <f t="shared" si="4"/>
        <v>546755.6666</v>
      </c>
      <c r="N22" s="49">
        <f t="shared" si="5"/>
        <v>5451156</v>
      </c>
      <c r="O22" s="48">
        <f t="shared" si="6"/>
        <v>92492.666599999997</v>
      </c>
      <c r="P22" s="49">
        <f t="shared" si="7"/>
        <v>5529748.2187999999</v>
      </c>
    </row>
    <row r="23" spans="2:21" x14ac:dyDescent="0.25">
      <c r="B23" s="19">
        <f t="shared" si="0"/>
        <v>7</v>
      </c>
      <c r="C23" s="46">
        <f t="shared" ca="1" si="8"/>
        <v>44709</v>
      </c>
      <c r="D23" s="49">
        <f t="shared" si="1"/>
        <v>454263</v>
      </c>
      <c r="E23" s="49">
        <f t="shared" si="2"/>
        <v>454263</v>
      </c>
      <c r="F23" s="49">
        <f t="shared" si="9"/>
        <v>67049.218800000002</v>
      </c>
      <c r="G23" s="49">
        <f t="shared" si="10"/>
        <v>521312.21880000003</v>
      </c>
      <c r="H23" s="49">
        <f>IF($C$3="Tarjeta crédito",Param!$D$2,0)</f>
        <v>0</v>
      </c>
      <c r="I23" s="49"/>
      <c r="J23" s="49"/>
      <c r="K23" s="41">
        <f>IF($C$3="Educativo Rotativo",VLOOKUP($C$3,Param!$A:$I,MATCH(VTU_Rotativo!$K$14,Param!$1:$1,0),0)*$N22,VLOOKUP($C$3,Param!$A:$I,MATCH(VTU_Rotativo!$K$14,Param!$1:$1,0),0)*$P23)</f>
        <v>13900.447800000002</v>
      </c>
      <c r="L23" s="49">
        <f>VLOOKUP($C$3,Param!$A:$I,MATCH(VTU_Rotativo!$L$14,Param!$1:$1,0),0)</f>
        <v>11543</v>
      </c>
      <c r="M23" s="49">
        <f t="shared" si="4"/>
        <v>546755.6666</v>
      </c>
      <c r="N23" s="49">
        <f t="shared" si="5"/>
        <v>5451156</v>
      </c>
      <c r="O23" s="48">
        <f t="shared" si="6"/>
        <v>92492.666599999997</v>
      </c>
      <c r="P23" s="49">
        <f t="shared" si="7"/>
        <v>5529748.2187999999</v>
      </c>
    </row>
    <row r="24" spans="2:21" x14ac:dyDescent="0.25">
      <c r="B24" s="19">
        <f t="shared" si="0"/>
        <v>8</v>
      </c>
      <c r="C24" s="46">
        <f t="shared" ca="1" si="8"/>
        <v>44740</v>
      </c>
      <c r="D24" s="49">
        <f t="shared" si="1"/>
        <v>454263</v>
      </c>
      <c r="E24" s="49">
        <f t="shared" si="2"/>
        <v>454263</v>
      </c>
      <c r="F24" s="49">
        <f t="shared" si="9"/>
        <v>67049.218800000002</v>
      </c>
      <c r="G24" s="49">
        <f t="shared" si="10"/>
        <v>521312.21880000003</v>
      </c>
      <c r="H24" s="49"/>
      <c r="I24" s="49"/>
      <c r="J24" s="49"/>
      <c r="K24" s="41">
        <f>IF($C$3="Educativo Rotativo",VLOOKUP($C$3,Param!$A:$I,MATCH(VTU_Rotativo!$K$14,Param!$1:$1,0),0)*$N23,VLOOKUP($C$3,Param!$A:$I,MATCH(VTU_Rotativo!$K$14,Param!$1:$1,0),0)*$P24)</f>
        <v>13900.447800000002</v>
      </c>
      <c r="L24" s="49">
        <f>VLOOKUP($C$3,Param!$A:$I,MATCH(VTU_Rotativo!$L$14,Param!$1:$1,0),0)</f>
        <v>11543</v>
      </c>
      <c r="M24" s="49">
        <f t="shared" si="4"/>
        <v>546755.6666</v>
      </c>
      <c r="N24" s="49">
        <f t="shared" si="5"/>
        <v>5451156</v>
      </c>
      <c r="O24" s="48">
        <f t="shared" si="6"/>
        <v>92492.666599999997</v>
      </c>
      <c r="P24" s="49">
        <f t="shared" si="7"/>
        <v>5529748.2187999999</v>
      </c>
    </row>
    <row r="25" spans="2:21" x14ac:dyDescent="0.25">
      <c r="B25" s="19">
        <f t="shared" si="0"/>
        <v>9</v>
      </c>
      <c r="C25" s="46">
        <f t="shared" ca="1" si="8"/>
        <v>44770</v>
      </c>
      <c r="D25" s="49">
        <f t="shared" si="1"/>
        <v>454263</v>
      </c>
      <c r="E25" s="49">
        <f>$D$16/$C$8</f>
        <v>454263</v>
      </c>
      <c r="F25" s="49">
        <f t="shared" si="9"/>
        <v>67049.218800000002</v>
      </c>
      <c r="G25" s="49">
        <f t="shared" si="10"/>
        <v>521312.21880000003</v>
      </c>
      <c r="H25" s="49"/>
      <c r="I25" s="49"/>
      <c r="J25" s="49"/>
      <c r="K25" s="41">
        <f>IF($C$3="Educativo Rotativo",VLOOKUP($C$3,Param!$A:$I,MATCH(VTU_Rotativo!$K$14,Param!$1:$1,0),0)*$N24,VLOOKUP($C$3,Param!$A:$I,MATCH(VTU_Rotativo!$K$14,Param!$1:$1,0),0)*$P25)</f>
        <v>13900.447800000002</v>
      </c>
      <c r="L25" s="49">
        <f>VLOOKUP($C$3,Param!$A:$I,MATCH(VTU_Rotativo!$L$14,Param!$1:$1,0),0)</f>
        <v>11543</v>
      </c>
      <c r="M25" s="49">
        <f t="shared" si="4"/>
        <v>546755.6666</v>
      </c>
      <c r="N25" s="49">
        <f t="shared" si="5"/>
        <v>5451156</v>
      </c>
      <c r="O25" s="48">
        <f t="shared" si="6"/>
        <v>92492.666599999997</v>
      </c>
      <c r="P25" s="49">
        <f t="shared" si="7"/>
        <v>5529748.2187999999</v>
      </c>
    </row>
    <row r="26" spans="2:21" x14ac:dyDescent="0.25">
      <c r="B26" s="19">
        <f t="shared" si="0"/>
        <v>10</v>
      </c>
      <c r="C26" s="46">
        <f t="shared" ca="1" si="8"/>
        <v>44801</v>
      </c>
      <c r="D26" s="49">
        <f t="shared" si="1"/>
        <v>454263</v>
      </c>
      <c r="E26" s="49">
        <f t="shared" si="2"/>
        <v>454263</v>
      </c>
      <c r="F26" s="49">
        <f t="shared" si="9"/>
        <v>67049.218800000002</v>
      </c>
      <c r="G26" s="49">
        <f t="shared" si="10"/>
        <v>521312.21880000003</v>
      </c>
      <c r="H26" s="49">
        <f>IF($C$3="Tarjeta crédito",Param!$D$2,0)</f>
        <v>0</v>
      </c>
      <c r="I26" s="49"/>
      <c r="J26" s="49"/>
      <c r="K26" s="41">
        <f>IF($C$3="Educativo Rotativo",VLOOKUP($C$3,Param!$A:$I,MATCH(VTU_Rotativo!$K$14,Param!$1:$1,0),0)*$N25,VLOOKUP($C$3,Param!$A:$I,MATCH(VTU_Rotativo!$K$14,Param!$1:$1,0),0)*$P26)</f>
        <v>13900.447800000002</v>
      </c>
      <c r="L26" s="49">
        <f>VLOOKUP($C$3,Param!$A:$I,MATCH(VTU_Rotativo!$L$14,Param!$1:$1,0),0)</f>
        <v>11543</v>
      </c>
      <c r="M26" s="49">
        <f t="shared" ref="M26:M28" si="11">SUM(G26:L26)</f>
        <v>546755.6666</v>
      </c>
      <c r="N26" s="49">
        <f t="shared" si="5"/>
        <v>5451156</v>
      </c>
      <c r="O26" s="48">
        <f t="shared" si="6"/>
        <v>92492.666599999997</v>
      </c>
      <c r="P26" s="49">
        <f t="shared" si="7"/>
        <v>5529748.2187999999</v>
      </c>
    </row>
    <row r="27" spans="2:21" x14ac:dyDescent="0.25">
      <c r="B27" s="19">
        <f t="shared" si="0"/>
        <v>11</v>
      </c>
      <c r="C27" s="46">
        <f t="shared" ca="1" si="8"/>
        <v>44832</v>
      </c>
      <c r="D27" s="49">
        <f t="shared" si="1"/>
        <v>454263</v>
      </c>
      <c r="E27" s="49">
        <f>$D$16/$C$8</f>
        <v>454263</v>
      </c>
      <c r="F27" s="49">
        <f t="shared" si="3"/>
        <v>67049.218800000002</v>
      </c>
      <c r="G27" s="49">
        <f t="shared" si="10"/>
        <v>521312.21880000003</v>
      </c>
      <c r="H27" s="49"/>
      <c r="I27" s="49"/>
      <c r="J27" s="49"/>
      <c r="K27" s="41">
        <f>IF($C$3="Educativo Rotativo",VLOOKUP($C$3,Param!$A:$I,MATCH(VTU_Rotativo!$K$14,Param!$1:$1,0),0)*$N26,VLOOKUP($C$3,Param!$A:$I,MATCH(VTU_Rotativo!$K$14,Param!$1:$1,0),0)*$P27)</f>
        <v>13900.447800000002</v>
      </c>
      <c r="L27" s="49">
        <f>VLOOKUP($C$3,Param!$A:$I,MATCH(VTU_Rotativo!$L$14,Param!$1:$1,0),0)</f>
        <v>11543</v>
      </c>
      <c r="M27" s="49">
        <f t="shared" si="11"/>
        <v>546755.6666</v>
      </c>
      <c r="N27" s="49">
        <f t="shared" si="5"/>
        <v>5451156</v>
      </c>
      <c r="O27" s="48">
        <f t="shared" si="6"/>
        <v>92492.666599999997</v>
      </c>
      <c r="P27" s="49">
        <f t="shared" si="7"/>
        <v>5529748.2187999999</v>
      </c>
    </row>
    <row r="28" spans="2:21" x14ac:dyDescent="0.25">
      <c r="B28" s="19">
        <f t="shared" si="0"/>
        <v>12</v>
      </c>
      <c r="C28" s="46">
        <f t="shared" ca="1" si="8"/>
        <v>44862</v>
      </c>
      <c r="D28" s="49"/>
      <c r="E28" s="49">
        <f>+N27</f>
        <v>5451156</v>
      </c>
      <c r="F28" s="49">
        <f>(N27*$C$10)</f>
        <v>67049.218800000002</v>
      </c>
      <c r="G28" s="49">
        <f t="shared" si="10"/>
        <v>5518205.2187999999</v>
      </c>
      <c r="H28" s="49"/>
      <c r="I28" s="49">
        <f>IF($C$3="Tarjeta Crédito",(Param!$F$2+Param!$G$2),0)</f>
        <v>0</v>
      </c>
      <c r="J28" s="49"/>
      <c r="K28" s="41">
        <f>IF($C$3="Educativo Rotativo",VLOOKUP($C$3,Param!$A:$I,MATCH(VTU_Rotativo!$K$14,Param!$1:$1,0),0)*$N27,VLOOKUP($C$3,Param!$A:$I,MATCH(VTU_Rotativo!$K$14,Param!$1:$1,0),0)*$P28)</f>
        <v>13900.447800000002</v>
      </c>
      <c r="L28" s="49">
        <f>VLOOKUP($C$3,Param!$A:$I,MATCH(VTU_Rotativo!$L$14,Param!$1:$1,0),0)</f>
        <v>11543</v>
      </c>
      <c r="M28" s="49">
        <f t="shared" si="11"/>
        <v>5543648.6666000001</v>
      </c>
      <c r="N28" s="49">
        <f t="shared" si="5"/>
        <v>0</v>
      </c>
      <c r="O28" s="48">
        <f>+M28-D28</f>
        <v>5543648.6666000001</v>
      </c>
      <c r="P28" s="49">
        <f t="shared" si="7"/>
        <v>5529748.2187999999</v>
      </c>
      <c r="S28" s="50"/>
    </row>
    <row r="29" spans="2:21" x14ac:dyDescent="0.25">
      <c r="S29" s="50"/>
      <c r="U29" s="51"/>
    </row>
  </sheetData>
  <sheetProtection algorithmName="SHA-512" hashValue="4f09sfoQo65WyCURcnPImQr0g6sBifbyIbT2hknAXCSCfPOFKw6B4rewiVJ82Bb25i4xdR2/p7R67wfYKFXREQ==" saltValue="2ONS71WfrBx5x81vYVkYqw==" spinCount="100000" sheet="1" selectLockedCells="1"/>
  <mergeCells count="2">
    <mergeCell ref="B2:E2"/>
    <mergeCell ref="C3:E3"/>
  </mergeCells>
  <conditionalFormatting sqref="E6:E8">
    <cfRule type="expression" dxfId="1" priority="3">
      <formula>$F$4="No"</formula>
    </cfRule>
  </conditionalFormatting>
  <conditionalFormatting sqref="E7:E8">
    <cfRule type="expression" dxfId="0" priority="2">
      <formula>$F$6="Porcentaje"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Param</vt:lpstr>
      <vt:lpstr>Simulador</vt:lpstr>
      <vt:lpstr>VTU_Rotativo</vt:lpstr>
      <vt:lpstr>cuota</vt:lpstr>
      <vt:lpstr>Param!SMMLV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Fredy Alexander Tarazona Manrique</cp:lastModifiedBy>
  <dcterms:created xsi:type="dcterms:W3CDTF">2019-10-30T14:58:35Z</dcterms:created>
  <dcterms:modified xsi:type="dcterms:W3CDTF">2021-10-29T16:40:44Z</dcterms:modified>
</cp:coreProperties>
</file>