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80cw4\Compartidos\GerenciaFinanciera\23. Calculadoras\VTU\"/>
    </mc:Choice>
  </mc:AlternateContent>
  <xr:revisionPtr revIDLastSave="0" documentId="13_ncr:1_{BCCDC19E-DBAC-43C3-AB63-1A04A5129C6E}" xr6:coauthVersionLast="45" xr6:coauthVersionMax="45" xr10:uidLastSave="{00000000-0000-0000-0000-000000000000}"/>
  <workbookProtection workbookAlgorithmName="SHA-512" workbookHashValue="L95WMbjBLGCnSTeER01DY8J09/xB3hQPIlPVSKPXLlhNXPlQPHCssa+qnOBLTZ6gxVQ+8GMrasJeExzP9u/Kvg==" workbookSaltValue="L0zbZeNE7bMP/lze2f739A==" workbookSpinCount="100000" lockStructure="1"/>
  <bookViews>
    <workbookView xWindow="-120" yWindow="-120" windowWidth="20730" windowHeight="11160" xr2:uid="{58082822-7E55-42F5-A2E0-1AC0CF6C8A8F}"/>
  </bookViews>
  <sheets>
    <sheet name="Simulador" sheetId="4" r:id="rId1"/>
    <sheet name="Flujo" sheetId="2" state="hidden" r:id="rId2"/>
    <sheet name="Param" sheetId="3" state="hidden" r:id="rId3"/>
  </sheets>
  <externalReferences>
    <externalReference r:id="rId4"/>
  </externalReferences>
  <definedNames>
    <definedName name="_AMO_UniqueIdentifier" hidden="1">"'5e236c76-b2eb-4d35-b0fa-e42cf10dae5a'"</definedName>
    <definedName name="Bancaseg_gracia">[1]Calculo_Cuota!$E$22</definedName>
    <definedName name="Bancaseguro">[1]Calculo_Cuota!$C$20</definedName>
    <definedName name="CDT">#REF!</definedName>
    <definedName name="Convenio">[1]Convenios!$A:$F</definedName>
    <definedName name="Credifijo">#REF!</definedName>
    <definedName name="Crediflash">#REF!</definedName>
    <definedName name="Credioficial">#REF!</definedName>
    <definedName name="Cuenta_Ahorro">#REF!</definedName>
    <definedName name="Cuenta_Corriente">#REF!</definedName>
    <definedName name="cuota">Simulador!$D$11</definedName>
    <definedName name="Educativo">#REF!</definedName>
    <definedName name="Est_CR_Libranza">[1]Calculo_Cuota!$C$19</definedName>
    <definedName name="Int_Gracia">[1]Calculo_Cuota!$E$20</definedName>
    <definedName name="Inverprimas">#REF!</definedName>
    <definedName name="Parametro" localSheetId="2">[1]Param!$E$1:$L$11</definedName>
    <definedName name="Parametro">#REF!</definedName>
    <definedName name="Prestaexpress">#REF!</definedName>
    <definedName name="Producto" localSheetId="2">[1]Param!$A$2:$A$6</definedName>
    <definedName name="Producto">#REF!</definedName>
    <definedName name="seguro_gracia">[1]Calculo_Cuota!$E$21</definedName>
    <definedName name="SMMLV" localSheetId="2">[1]Param!$AB$2</definedName>
    <definedName name="SMMLV">#REF!</definedName>
    <definedName name="Variable">#REF!</definedName>
    <definedName name="Vehícul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C2" i="3"/>
  <c r="G6" i="4" l="1"/>
  <c r="E7" i="4" l="1"/>
  <c r="C4" i="2" l="1"/>
  <c r="J16" i="2" l="1"/>
  <c r="G5" i="4"/>
  <c r="D11" i="4" l="1"/>
  <c r="C12" i="2" l="1"/>
  <c r="C11" i="2" s="1"/>
  <c r="D10" i="4"/>
  <c r="D8" i="4"/>
  <c r="C7" i="2" s="1"/>
  <c r="C9" i="2"/>
  <c r="E8" i="2"/>
  <c r="C6" i="2"/>
  <c r="E9" i="2" s="1"/>
  <c r="C8" i="2" l="1"/>
  <c r="I16" i="2"/>
  <c r="K16" i="2" l="1"/>
  <c r="L16" i="2"/>
  <c r="B17" i="2"/>
  <c r="D17" i="2" l="1"/>
  <c r="E17" i="2"/>
  <c r="L17" i="2" s="1"/>
  <c r="F17" i="2"/>
  <c r="G17" i="2"/>
  <c r="C17" i="2"/>
  <c r="I17" i="2" s="1"/>
  <c r="H17" i="2" l="1"/>
  <c r="K17" i="2" l="1"/>
  <c r="B18" i="2" l="1"/>
  <c r="G18" i="2" l="1"/>
  <c r="D18" i="2"/>
  <c r="E18" i="2" s="1"/>
  <c r="L18" i="2" s="1"/>
  <c r="F18" i="2"/>
  <c r="C18" i="2" l="1"/>
  <c r="I18" i="2" s="1"/>
  <c r="H18" i="2" l="1"/>
  <c r="K18" i="2"/>
  <c r="B19" i="2"/>
  <c r="G19" i="2" l="1"/>
  <c r="F19" i="2"/>
  <c r="D19" i="2"/>
  <c r="E19" i="2" s="1"/>
  <c r="L19" i="2" s="1"/>
  <c r="C19" i="2" l="1"/>
  <c r="I19" i="2" s="1"/>
  <c r="B20" i="2" l="1"/>
  <c r="F20" i="2" l="1"/>
  <c r="G20" i="2"/>
  <c r="K20" i="2" s="1"/>
  <c r="D20" i="2"/>
  <c r="E20" i="2" s="1"/>
  <c r="L20" i="2" s="1"/>
  <c r="K19" i="2"/>
  <c r="H19" i="2"/>
  <c r="C20" i="2" l="1"/>
  <c r="I20" i="2" s="1"/>
  <c r="B21" i="2"/>
  <c r="D21" i="2" s="1"/>
  <c r="E21" i="2" s="1"/>
  <c r="F21" i="2"/>
  <c r="H20" i="2"/>
  <c r="L21" i="2" l="1"/>
  <c r="G21" i="2"/>
  <c r="C21" i="2"/>
  <c r="I21" i="2" s="1"/>
  <c r="B22" i="2" l="1"/>
  <c r="F22" i="2" l="1"/>
  <c r="G22" i="2"/>
  <c r="H22" i="2" s="1"/>
  <c r="D22" i="2"/>
  <c r="E22" i="2" s="1"/>
  <c r="L22" i="2" s="1"/>
  <c r="K21" i="2"/>
  <c r="H21" i="2"/>
  <c r="C22" i="2" l="1"/>
  <c r="I22" i="2" s="1"/>
  <c r="B23" i="2"/>
  <c r="F23" i="2" s="1"/>
  <c r="D23" i="2"/>
  <c r="E23" i="2" s="1"/>
  <c r="K22" i="2"/>
  <c r="C23" i="2"/>
  <c r="L23" i="2" l="1"/>
  <c r="G23" i="2"/>
  <c r="I23" i="2"/>
  <c r="K23" i="2" l="1"/>
  <c r="H23" i="2"/>
  <c r="B24" i="2"/>
  <c r="D24" i="2" l="1"/>
  <c r="F24" i="2"/>
  <c r="E24" i="2"/>
  <c r="G24" i="2" s="1"/>
  <c r="C24" i="2"/>
  <c r="I24" i="2" s="1"/>
  <c r="L24" i="2" l="1"/>
  <c r="K24" i="2"/>
  <c r="H24" i="2"/>
  <c r="B25" i="2"/>
  <c r="D25" i="2" l="1"/>
  <c r="C25" i="2" s="1"/>
  <c r="I25" i="2" s="1"/>
  <c r="F25" i="2"/>
  <c r="E25" i="2" l="1"/>
  <c r="B26" i="2"/>
  <c r="G25" i="2" l="1"/>
  <c r="K25" i="2" s="1"/>
  <c r="L25" i="2"/>
  <c r="D26" i="2"/>
  <c r="E26" i="2" s="1"/>
  <c r="G26" i="2" s="1"/>
  <c r="F26" i="2"/>
  <c r="H25" i="2" l="1"/>
  <c r="L26" i="2"/>
  <c r="C26" i="2"/>
  <c r="I26" i="2" s="1"/>
  <c r="H26" i="2"/>
  <c r="K26" i="2"/>
  <c r="B27" i="2" l="1"/>
  <c r="D27" i="2"/>
  <c r="C27" i="2" s="1"/>
  <c r="I27" i="2" s="1"/>
  <c r="F27" i="2"/>
  <c r="E27" i="2"/>
  <c r="L27" i="2" l="1"/>
  <c r="B28" i="2"/>
  <c r="G27" i="2"/>
  <c r="K27" i="2" s="1"/>
  <c r="D28" i="2"/>
  <c r="E28" i="2" s="1"/>
  <c r="L28" i="2" l="1"/>
  <c r="G28" i="2"/>
  <c r="H27" i="2"/>
  <c r="C28" i="2"/>
  <c r="I28" i="2" l="1"/>
  <c r="F28" i="2"/>
  <c r="B29" i="2" l="1"/>
  <c r="K28" i="2"/>
  <c r="H28" i="2"/>
  <c r="D29" i="2"/>
  <c r="C29" i="2" s="1"/>
  <c r="G29" i="2" l="1"/>
  <c r="F29" i="2"/>
  <c r="E29" i="2"/>
  <c r="L29" i="2" s="1"/>
  <c r="I29" i="2"/>
  <c r="H29" i="2" l="1"/>
  <c r="K29" i="2"/>
  <c r="B30" i="2"/>
  <c r="G30" i="2" l="1"/>
  <c r="D30" i="2"/>
  <c r="E30" i="2" s="1"/>
  <c r="L30" i="2" s="1"/>
  <c r="F30" i="2"/>
  <c r="C30" i="2" l="1"/>
  <c r="I30" i="2" s="1"/>
  <c r="B31" i="2" l="1"/>
  <c r="D31" i="2" l="1"/>
  <c r="E31" i="2" s="1"/>
  <c r="L31" i="2" s="1"/>
  <c r="G31" i="2"/>
  <c r="K31" i="2" s="1"/>
  <c r="F31" i="2"/>
  <c r="K30" i="2"/>
  <c r="H30" i="2"/>
  <c r="C31" i="2"/>
  <c r="I31" i="2" s="1"/>
  <c r="H31" i="2" l="1"/>
  <c r="B32" i="2"/>
  <c r="G32" i="2" l="1"/>
  <c r="F32" i="2"/>
  <c r="D32" i="2"/>
  <c r="E32" i="2" s="1"/>
  <c r="L32" i="2" s="1"/>
  <c r="C32" i="2" l="1"/>
  <c r="I32" i="2" s="1"/>
  <c r="B33" i="2" l="1"/>
  <c r="F33" i="2"/>
  <c r="D33" i="2" l="1"/>
  <c r="E33" i="2" s="1"/>
  <c r="L33" i="2" s="1"/>
  <c r="G33" i="2"/>
  <c r="H33" i="2" s="1"/>
  <c r="K32" i="2"/>
  <c r="H32" i="2"/>
  <c r="C33" i="2"/>
  <c r="I33" i="2" s="1"/>
  <c r="K33" i="2" l="1"/>
  <c r="B34" i="2"/>
  <c r="G34" i="2" l="1"/>
  <c r="D34" i="2"/>
  <c r="F34" i="2"/>
  <c r="E34" i="2"/>
  <c r="L34" i="2" s="1"/>
  <c r="C34" i="2"/>
  <c r="I34" i="2" s="1"/>
  <c r="K34" i="2" l="1"/>
  <c r="H34" i="2"/>
  <c r="B35" i="2"/>
  <c r="G35" i="2" l="1"/>
  <c r="F35" i="2"/>
  <c r="D35" i="2"/>
  <c r="E35" i="2" s="1"/>
  <c r="L35" i="2" s="1"/>
  <c r="C35" i="2" l="1"/>
  <c r="I35" i="2" s="1"/>
  <c r="K35" i="2" l="1"/>
  <c r="H35" i="2"/>
  <c r="B36" i="2"/>
  <c r="G36" i="2" l="1"/>
  <c r="D36" i="2"/>
  <c r="E36" i="2"/>
  <c r="L36" i="2" s="1"/>
  <c r="C36" i="2"/>
  <c r="I36" i="2" s="1"/>
  <c r="F36" i="2" l="1"/>
  <c r="K36" i="2" s="1"/>
  <c r="B37" i="2"/>
  <c r="G37" i="2" l="1"/>
  <c r="D37" i="2"/>
  <c r="H36" i="2"/>
  <c r="E37" i="2"/>
  <c r="L37" i="2" s="1"/>
  <c r="C37" i="2"/>
  <c r="F37" i="2"/>
  <c r="I37" i="2" l="1"/>
  <c r="H37" i="2" l="1"/>
  <c r="K37" i="2"/>
  <c r="B38" i="2"/>
  <c r="F38" i="2" l="1"/>
  <c r="D38" i="2"/>
  <c r="E38" i="2" l="1"/>
  <c r="C38" i="2"/>
  <c r="I38" i="2" s="1"/>
  <c r="G38" i="2" l="1"/>
  <c r="H38" i="2" s="1"/>
  <c r="L38" i="2"/>
  <c r="B39" i="2"/>
  <c r="K38" i="2" l="1"/>
  <c r="G39" i="2"/>
  <c r="D39" i="2"/>
  <c r="E39" i="2" s="1"/>
  <c r="L39" i="2" s="1"/>
  <c r="F39" i="2"/>
  <c r="C39" i="2" l="1"/>
  <c r="I39" i="2" s="1"/>
  <c r="H39" i="2" l="1"/>
  <c r="K39" i="2"/>
  <c r="B40" i="2"/>
  <c r="G40" i="2" l="1"/>
  <c r="D40" i="2"/>
  <c r="E40" i="2" s="1"/>
  <c r="L40" i="2" s="1"/>
  <c r="C40" i="2" l="1"/>
  <c r="I40" i="2" s="1"/>
  <c r="F40" i="2" l="1"/>
  <c r="B41" i="2"/>
  <c r="H40" i="2" l="1"/>
  <c r="K40" i="2"/>
  <c r="D41" i="2"/>
  <c r="C41" i="2" s="1"/>
  <c r="I41" i="2" s="1"/>
  <c r="F41" i="2"/>
  <c r="E41" i="2" l="1"/>
  <c r="B42" i="2"/>
  <c r="G41" i="2" l="1"/>
  <c r="H41" i="2" s="1"/>
  <c r="L41" i="2"/>
  <c r="D42" i="2"/>
  <c r="C42" i="2" s="1"/>
  <c r="I42" i="2" s="1"/>
  <c r="F42" i="2"/>
  <c r="K41" i="2" l="1"/>
  <c r="E42" i="2"/>
  <c r="B43" i="2"/>
  <c r="G42" i="2" l="1"/>
  <c r="H42" i="2" s="1"/>
  <c r="L42" i="2"/>
  <c r="D43" i="2"/>
  <c r="C43" i="2" s="1"/>
  <c r="I43" i="2" s="1"/>
  <c r="F43" i="2"/>
  <c r="K42" i="2" l="1"/>
  <c r="E43" i="2"/>
  <c r="B44" i="2"/>
  <c r="G43" i="2" l="1"/>
  <c r="H43" i="2" s="1"/>
  <c r="L43" i="2"/>
  <c r="G44" i="2"/>
  <c r="D44" i="2"/>
  <c r="E44" i="2" s="1"/>
  <c r="L44" i="2" s="1"/>
  <c r="F44" i="2"/>
  <c r="K43" i="2" l="1"/>
  <c r="C44" i="2"/>
  <c r="I44" i="2" s="1"/>
  <c r="B45" i="2" l="1"/>
  <c r="F45" i="2"/>
  <c r="K44" i="2" l="1"/>
  <c r="H44" i="2"/>
  <c r="D45" i="2"/>
  <c r="E45" i="2" l="1"/>
  <c r="C45" i="2"/>
  <c r="I45" i="2" s="1"/>
  <c r="G45" i="2" l="1"/>
  <c r="H45" i="2" s="1"/>
  <c r="L45" i="2"/>
  <c r="B46" i="2"/>
  <c r="D46" i="2"/>
  <c r="E46" i="2" s="1"/>
  <c r="F46" i="2"/>
  <c r="K45" i="2" l="1"/>
  <c r="L46" i="2"/>
  <c r="G46" i="2"/>
  <c r="K46" i="2" s="1"/>
  <c r="C46" i="2"/>
  <c r="I46" i="2" s="1"/>
  <c r="B47" i="2" l="1"/>
  <c r="H46" i="2"/>
  <c r="F47" i="2"/>
  <c r="D47" i="2"/>
  <c r="C47" i="2" s="1"/>
  <c r="G47" i="2" l="1"/>
  <c r="E47" i="2"/>
  <c r="L47" i="2" s="1"/>
  <c r="I47" i="2"/>
  <c r="H47" i="2" l="1"/>
  <c r="K47" i="2"/>
  <c r="B48" i="2"/>
  <c r="D48" i="2" l="1"/>
  <c r="C48" i="2" s="1"/>
  <c r="I48" i="2" s="1"/>
  <c r="F48" i="2"/>
  <c r="B49" i="2" l="1"/>
  <c r="E48" i="2"/>
  <c r="D49" i="2"/>
  <c r="C49" i="2" s="1"/>
  <c r="F49" i="2"/>
  <c r="G48" i="2" l="1"/>
  <c r="H48" i="2" s="1"/>
  <c r="L48" i="2"/>
  <c r="G49" i="2"/>
  <c r="E49" i="2"/>
  <c r="L49" i="2" s="1"/>
  <c r="I49" i="2"/>
  <c r="K48" i="2" l="1"/>
  <c r="B50" i="2"/>
  <c r="F50" i="2"/>
  <c r="D50" i="2"/>
  <c r="C50" i="2" s="1"/>
  <c r="G50" i="2" l="1"/>
  <c r="H49" i="2"/>
  <c r="K49" i="2"/>
  <c r="E50" i="2"/>
  <c r="L50" i="2" s="1"/>
  <c r="I50" i="2" l="1"/>
  <c r="H50" i="2" l="1"/>
  <c r="K50" i="2"/>
  <c r="B51" i="2"/>
  <c r="F51" i="2" l="1"/>
  <c r="D51" i="2"/>
  <c r="C51" i="2" s="1"/>
  <c r="E51" i="2" l="1"/>
  <c r="I51" i="2"/>
  <c r="G51" i="2" l="1"/>
  <c r="H51" i="2" s="1"/>
  <c r="L51" i="2"/>
  <c r="B52" i="2"/>
  <c r="K51" i="2" l="1"/>
  <c r="F52" i="2"/>
  <c r="D52" i="2"/>
  <c r="C52" i="2" s="1"/>
  <c r="E52" i="2" l="1"/>
  <c r="G52" i="2" l="1"/>
  <c r="L52" i="2"/>
  <c r="I52" i="2"/>
  <c r="H52" i="2" l="1"/>
  <c r="K52" i="2"/>
  <c r="B53" i="2"/>
  <c r="F53" i="2" l="1"/>
  <c r="D53" i="2"/>
  <c r="E53" i="2" s="1"/>
  <c r="G53" i="2" s="1"/>
  <c r="L53" i="2" l="1"/>
  <c r="C53" i="2"/>
  <c r="I53" i="2" s="1"/>
  <c r="H53" i="2" l="1"/>
  <c r="K53" i="2"/>
  <c r="B54" i="2"/>
  <c r="G54" i="2" l="1"/>
  <c r="D54" i="2"/>
  <c r="E54" i="2"/>
  <c r="L54" i="2" s="1"/>
  <c r="C54" i="2"/>
  <c r="F54" i="2"/>
  <c r="I54" i="2" l="1"/>
  <c r="H54" i="2" l="1"/>
  <c r="K54" i="2"/>
  <c r="B55" i="2"/>
  <c r="F55" i="2" l="1"/>
  <c r="D55" i="2"/>
  <c r="C55" i="2" s="1"/>
  <c r="E55" i="2" l="1"/>
  <c r="G55" i="2" l="1"/>
  <c r="L55" i="2"/>
  <c r="I55" i="2"/>
  <c r="H55" i="2" l="1"/>
  <c r="K55" i="2"/>
  <c r="B56" i="2"/>
  <c r="D56" i="2" l="1"/>
  <c r="C56" i="2" s="1"/>
  <c r="I56" i="2" s="1"/>
  <c r="F56" i="2"/>
  <c r="E56" i="2" l="1"/>
  <c r="B57" i="2"/>
  <c r="G56" i="2" l="1"/>
  <c r="H56" i="2" s="1"/>
  <c r="L56" i="2"/>
  <c r="F57" i="2"/>
  <c r="D57" i="2"/>
  <c r="C57" i="2" s="1"/>
  <c r="K56" i="2" l="1"/>
  <c r="E57" i="2"/>
  <c r="I57" i="2"/>
  <c r="G57" i="2" l="1"/>
  <c r="H57" i="2" s="1"/>
  <c r="L57" i="2"/>
  <c r="B58" i="2"/>
  <c r="K57" i="2" l="1"/>
  <c r="F58" i="2"/>
  <c r="D58" i="2"/>
  <c r="C58" i="2" s="1"/>
  <c r="E58" i="2" l="1"/>
  <c r="G58" i="2" l="1"/>
  <c r="L58" i="2"/>
  <c r="I58" i="2"/>
  <c r="H58" i="2" l="1"/>
  <c r="K58" i="2"/>
  <c r="B59" i="2"/>
  <c r="D59" i="2" l="1"/>
  <c r="C59" i="2" s="1"/>
  <c r="I59" i="2" s="1"/>
  <c r="F59" i="2"/>
  <c r="B60" i="2" l="1"/>
  <c r="E59" i="2"/>
  <c r="F60" i="2"/>
  <c r="D60" i="2"/>
  <c r="G59" i="2" l="1"/>
  <c r="H59" i="2" s="1"/>
  <c r="L59" i="2"/>
  <c r="G60" i="2"/>
  <c r="E60" i="2"/>
  <c r="L60" i="2" s="1"/>
  <c r="C60" i="2"/>
  <c r="I60" i="2" s="1"/>
  <c r="K59" i="2" l="1"/>
  <c r="H60" i="2"/>
  <c r="K60" i="2"/>
  <c r="B61" i="2"/>
  <c r="D61" i="2" l="1"/>
  <c r="C61" i="2" s="1"/>
  <c r="F61" i="2"/>
  <c r="E61" i="2" l="1"/>
  <c r="I61" i="2"/>
  <c r="G61" i="2" l="1"/>
  <c r="H61" i="2" s="1"/>
  <c r="L61" i="2"/>
  <c r="B62" i="2"/>
  <c r="K61" i="2" l="1"/>
  <c r="F62" i="2"/>
  <c r="D62" i="2"/>
  <c r="C62" i="2" s="1"/>
  <c r="E62" i="2" l="1"/>
  <c r="G62" i="2" l="1"/>
  <c r="L62" i="2"/>
  <c r="I62" i="2"/>
  <c r="H62" i="2" l="1"/>
  <c r="K62" i="2"/>
  <c r="B63" i="2"/>
  <c r="F63" i="2" l="1"/>
  <c r="D63" i="2"/>
  <c r="C63" i="2" s="1"/>
  <c r="E63" i="2" l="1"/>
  <c r="G63" i="2" l="1"/>
  <c r="L63" i="2"/>
  <c r="I63" i="2"/>
  <c r="H63" i="2" l="1"/>
  <c r="K63" i="2"/>
  <c r="B64" i="2"/>
  <c r="F64" i="2" l="1"/>
  <c r="D64" i="2"/>
  <c r="E64" i="2" l="1"/>
  <c r="C64" i="2"/>
  <c r="I64" i="2" s="1"/>
  <c r="G64" i="2" l="1"/>
  <c r="H64" i="2" s="1"/>
  <c r="L64" i="2"/>
  <c r="B65" i="2"/>
  <c r="K64" i="2" l="1"/>
  <c r="F65" i="2"/>
  <c r="D65" i="2"/>
  <c r="E65" i="2" l="1"/>
  <c r="C65" i="2"/>
  <c r="I65" i="2" s="1"/>
  <c r="G65" i="2" l="1"/>
  <c r="H65" i="2" s="1"/>
  <c r="L65" i="2"/>
  <c r="B66" i="2"/>
  <c r="K65" i="2" l="1"/>
  <c r="D66" i="2"/>
  <c r="C66" i="2" s="1"/>
  <c r="I66" i="2" s="1"/>
  <c r="F66" i="2" l="1"/>
  <c r="E66" i="2"/>
  <c r="B67" i="2"/>
  <c r="G66" i="2" l="1"/>
  <c r="H66" i="2" s="1"/>
  <c r="L66" i="2"/>
  <c r="F67" i="2"/>
  <c r="D67" i="2"/>
  <c r="K66" i="2" l="1"/>
  <c r="E67" i="2"/>
  <c r="C67" i="2"/>
  <c r="I67" i="2" s="1"/>
  <c r="G67" i="2" l="1"/>
  <c r="H67" i="2" s="1"/>
  <c r="L67" i="2"/>
  <c r="B68" i="2"/>
  <c r="K67" i="2" l="1"/>
  <c r="D68" i="2"/>
  <c r="C68" i="2" s="1"/>
  <c r="I68" i="2" s="1"/>
  <c r="F68" i="2"/>
  <c r="E68" i="2" l="1"/>
  <c r="B69" i="2"/>
  <c r="G68" i="2" l="1"/>
  <c r="H68" i="2" s="1"/>
  <c r="L68" i="2"/>
  <c r="G69" i="2"/>
  <c r="F69" i="2"/>
  <c r="D69" i="2"/>
  <c r="E69" i="2" s="1"/>
  <c r="L69" i="2" s="1"/>
  <c r="K68" i="2" l="1"/>
  <c r="C69" i="2"/>
  <c r="I69" i="2" s="1"/>
  <c r="H69" i="2" l="1"/>
  <c r="K69" i="2"/>
  <c r="B70" i="2"/>
  <c r="F70" i="2" l="1"/>
  <c r="D70" i="2"/>
  <c r="C70" i="2" s="1"/>
  <c r="E70" i="2" l="1"/>
  <c r="G70" i="2" l="1"/>
  <c r="L70" i="2"/>
  <c r="I70" i="2"/>
  <c r="H70" i="2" l="1"/>
  <c r="K70" i="2"/>
  <c r="B71" i="2"/>
  <c r="F71" i="2" l="1"/>
  <c r="D71" i="2"/>
  <c r="E71" i="2" s="1"/>
  <c r="G71" i="2" s="1"/>
  <c r="L71" i="2" l="1"/>
  <c r="C71" i="2"/>
  <c r="I71" i="2" s="1"/>
  <c r="H71" i="2" l="1"/>
  <c r="K71" i="2"/>
  <c r="B72" i="2"/>
  <c r="F72" i="2" l="1"/>
  <c r="D72" i="2"/>
  <c r="C72" i="2" s="1"/>
  <c r="E72" i="2" l="1"/>
  <c r="G72" i="2" l="1"/>
  <c r="L72" i="2"/>
  <c r="I72" i="2"/>
  <c r="H72" i="2" l="1"/>
  <c r="K72" i="2"/>
  <c r="B73" i="2"/>
  <c r="F73" i="2" l="1"/>
  <c r="D73" i="2"/>
  <c r="C73" i="2" s="1"/>
  <c r="E73" i="2" l="1"/>
  <c r="G73" i="2" l="1"/>
  <c r="L73" i="2"/>
  <c r="I73" i="2"/>
  <c r="H73" i="2" l="1"/>
  <c r="K73" i="2"/>
  <c r="B74" i="2"/>
  <c r="G74" i="2" l="1"/>
  <c r="F74" i="2"/>
  <c r="D74" i="2"/>
  <c r="E74" i="2" s="1"/>
  <c r="L74" i="2" s="1"/>
  <c r="C74" i="2" l="1"/>
  <c r="I74" i="2" s="1"/>
  <c r="B75" i="2" l="1"/>
  <c r="D75" i="2"/>
  <c r="C75" i="2" s="1"/>
  <c r="I75" i="2" s="1"/>
  <c r="F75" i="2"/>
  <c r="B76" i="2" l="1"/>
  <c r="G75" i="2"/>
  <c r="H75" i="2" s="1"/>
  <c r="H74" i="2"/>
  <c r="K74" i="2"/>
  <c r="E75" i="2"/>
  <c r="L75" i="2" s="1"/>
  <c r="D76" i="2"/>
  <c r="G76" i="2" l="1"/>
  <c r="K75" i="2"/>
  <c r="C76" i="2"/>
  <c r="I76" i="2" s="1"/>
  <c r="E76" i="2"/>
  <c r="L76" i="2" s="1"/>
  <c r="B77" i="2" l="1"/>
  <c r="F76" i="2"/>
  <c r="G77" i="2" l="1"/>
  <c r="L77" i="2"/>
  <c r="D77" i="2"/>
  <c r="C77" i="2" s="1"/>
  <c r="I77" i="2" s="1"/>
  <c r="F77" i="2"/>
  <c r="H77" i="2"/>
  <c r="H76" i="2"/>
  <c r="K76" i="2"/>
  <c r="E77" i="2"/>
  <c r="K77" i="2" l="1"/>
  <c r="B78" i="2"/>
  <c r="F78" i="2" s="1"/>
  <c r="D78" i="2"/>
  <c r="E78" i="2" s="1"/>
  <c r="H78" i="2"/>
  <c r="C78" i="2" l="1"/>
  <c r="I78" i="2" s="1"/>
  <c r="B79" i="2"/>
  <c r="G79" i="2"/>
  <c r="L79" i="2"/>
  <c r="G78" i="2"/>
  <c r="K78" i="2" s="1"/>
  <c r="L78" i="2"/>
  <c r="D79" i="2"/>
  <c r="C79" i="2"/>
  <c r="I79" i="2" s="1"/>
  <c r="F79" i="2"/>
  <c r="E79" i="2"/>
  <c r="B80" i="2" l="1"/>
  <c r="K79" i="2"/>
  <c r="H79" i="2"/>
  <c r="G80" i="2" l="1"/>
  <c r="L80" i="2"/>
  <c r="D80" i="2"/>
  <c r="E80" i="2"/>
  <c r="C80" i="2"/>
  <c r="I80" i="2" s="1"/>
  <c r="F80" i="2"/>
  <c r="B81" i="2" l="1"/>
  <c r="K80" i="2"/>
  <c r="H80" i="2"/>
  <c r="G81" i="2" l="1"/>
  <c r="L81" i="2"/>
  <c r="F81" i="2"/>
  <c r="H81" i="2"/>
  <c r="D81" i="2"/>
  <c r="E81" i="2" s="1"/>
  <c r="C81" i="2" l="1"/>
  <c r="I81" i="2" s="1"/>
  <c r="K81" i="2"/>
  <c r="B82" i="2" l="1"/>
  <c r="G82" i="2" l="1"/>
  <c r="L82" i="2"/>
  <c r="F82" i="2"/>
  <c r="D82" i="2"/>
  <c r="E82" i="2" s="1"/>
  <c r="C82" i="2" l="1"/>
  <c r="I82" i="2" s="1"/>
  <c r="K82" i="2"/>
  <c r="H82" i="2"/>
  <c r="B83" i="2" l="1"/>
  <c r="F83" i="2"/>
  <c r="D83" i="2"/>
  <c r="C83" i="2" s="1"/>
  <c r="I83" i="2" s="1"/>
  <c r="G83" i="2" l="1"/>
  <c r="L83" i="2"/>
  <c r="H83" i="2"/>
  <c r="B84" i="2"/>
  <c r="E83" i="2"/>
  <c r="K83" i="2"/>
  <c r="G84" i="2" l="1"/>
  <c r="L84" i="2"/>
  <c r="F84" i="2"/>
  <c r="D84" i="2"/>
  <c r="E84" i="2" s="1"/>
  <c r="K84" i="2" l="1"/>
  <c r="C84" i="2"/>
  <c r="I84" i="2" s="1"/>
  <c r="H84" i="2"/>
  <c r="B85" i="2" l="1"/>
  <c r="G85" i="2" l="1"/>
  <c r="L85" i="2"/>
  <c r="F85" i="2"/>
  <c r="D85" i="2"/>
  <c r="E85" i="2" s="1"/>
  <c r="H85" i="2" l="1"/>
  <c r="C85" i="2"/>
  <c r="I85" i="2" s="1"/>
  <c r="K85" i="2"/>
  <c r="B86" i="2" l="1"/>
  <c r="G86" i="2" l="1"/>
  <c r="L86" i="2"/>
  <c r="D86" i="2"/>
  <c r="E86" i="2" s="1"/>
  <c r="C86" i="2" l="1"/>
  <c r="I86" i="2" s="1"/>
  <c r="F86" i="2" l="1"/>
  <c r="B87" i="2"/>
  <c r="G87" i="2" l="1"/>
  <c r="L87" i="2"/>
  <c r="H86" i="2"/>
  <c r="K86" i="2"/>
  <c r="F87" i="2"/>
  <c r="D87" i="2"/>
  <c r="E87" i="2" s="1"/>
  <c r="C87" i="2" l="1"/>
  <c r="I87" i="2" s="1"/>
  <c r="H87" i="2"/>
  <c r="K87" i="2"/>
  <c r="B88" i="2" l="1"/>
  <c r="D88" i="2"/>
  <c r="C88" i="2" s="1"/>
  <c r="I88" i="2" s="1"/>
  <c r="G88" i="2" l="1"/>
  <c r="L88" i="2"/>
  <c r="F88" i="2"/>
  <c r="H88" i="2" s="1"/>
  <c r="B89" i="2"/>
  <c r="E88" i="2"/>
  <c r="G89" i="2" l="1"/>
  <c r="L89" i="2"/>
  <c r="K88" i="2"/>
  <c r="D89" i="2"/>
  <c r="E89" i="2" s="1"/>
  <c r="C89" i="2" l="1"/>
  <c r="I89" i="2" s="1"/>
  <c r="F89" i="2" l="1"/>
  <c r="B90" i="2"/>
  <c r="G90" i="2" l="1"/>
  <c r="L90" i="2"/>
  <c r="K89" i="2"/>
  <c r="H89" i="2"/>
  <c r="F90" i="2"/>
  <c r="H90" i="2"/>
  <c r="D90" i="2"/>
  <c r="C90" i="2" s="1"/>
  <c r="I90" i="2" s="1"/>
  <c r="B91" i="2" l="1"/>
  <c r="E90" i="2"/>
  <c r="K90" i="2"/>
  <c r="G91" i="2" l="1"/>
  <c r="L91" i="2"/>
  <c r="F91" i="2"/>
  <c r="D91" i="2"/>
  <c r="C91" i="2" s="1"/>
  <c r="I91" i="2" s="1"/>
  <c r="B92" i="2" l="1"/>
  <c r="K91" i="2"/>
  <c r="E91" i="2"/>
  <c r="H91" i="2"/>
  <c r="G92" i="2" l="1"/>
  <c r="L92" i="2"/>
  <c r="F92" i="2"/>
  <c r="D92" i="2"/>
  <c r="C92" i="2" s="1"/>
  <c r="I92" i="2" s="1"/>
  <c r="B93" i="2" l="1"/>
  <c r="E92" i="2"/>
  <c r="K92" i="2"/>
  <c r="H92" i="2"/>
  <c r="G93" i="2" l="1"/>
  <c r="L93" i="2"/>
  <c r="F93" i="2"/>
  <c r="D93" i="2"/>
  <c r="C93" i="2" s="1"/>
  <c r="I93" i="2" s="1"/>
  <c r="B94" i="2" l="1"/>
  <c r="K93" i="2"/>
  <c r="E93" i="2"/>
  <c r="H93" i="2"/>
  <c r="G94" i="2" l="1"/>
  <c r="L94" i="2"/>
  <c r="D94" i="2"/>
  <c r="E94" i="2" s="1"/>
  <c r="C94" i="2" l="1"/>
  <c r="I94" i="2" s="1"/>
  <c r="B95" i="2" l="1"/>
  <c r="F94" i="2"/>
  <c r="F95" i="2"/>
  <c r="D95" i="2"/>
  <c r="E95" i="2" s="1"/>
  <c r="G95" i="2" l="1"/>
  <c r="L95" i="2"/>
  <c r="H94" i="2"/>
  <c r="K94" i="2"/>
  <c r="C95" i="2"/>
  <c r="I95" i="2" s="1"/>
  <c r="H95" i="2"/>
  <c r="K95" i="2"/>
  <c r="B96" i="2" l="1"/>
  <c r="D96" i="2"/>
  <c r="C96" i="2" s="1"/>
  <c r="I96" i="2" s="1"/>
  <c r="G96" i="2" l="1"/>
  <c r="L96" i="2"/>
  <c r="F96" i="2"/>
  <c r="B97" i="2"/>
  <c r="E96" i="2"/>
  <c r="H96" i="2"/>
  <c r="K96" i="2" l="1"/>
  <c r="G97" i="2"/>
  <c r="L97" i="2"/>
  <c r="F97" i="2"/>
  <c r="D97" i="2"/>
  <c r="C97" i="2" s="1"/>
  <c r="I97" i="2" s="1"/>
  <c r="B98" i="2" l="1"/>
  <c r="E97" i="2"/>
  <c r="K97" i="2"/>
  <c r="H97" i="2"/>
  <c r="G98" i="2" l="1"/>
  <c r="L98" i="2"/>
  <c r="D98" i="2"/>
  <c r="E98" i="2"/>
  <c r="C98" i="2"/>
  <c r="I98" i="2" s="1"/>
  <c r="F98" i="2"/>
  <c r="B99" i="2" l="1"/>
  <c r="K98" i="2"/>
  <c r="H98" i="2"/>
  <c r="G99" i="2" l="1"/>
  <c r="L99" i="2"/>
  <c r="F99" i="2"/>
  <c r="D99" i="2"/>
  <c r="E99" i="2" s="1"/>
  <c r="H99" i="2" l="1"/>
  <c r="K99" i="2"/>
  <c r="C99" i="2"/>
  <c r="I99" i="2" s="1"/>
  <c r="B100" i="2" l="1"/>
  <c r="G100" i="2" l="1"/>
  <c r="L100" i="2"/>
  <c r="D100" i="2"/>
  <c r="E100" i="2"/>
  <c r="C100" i="2"/>
  <c r="I100" i="2" s="1"/>
  <c r="F100" i="2"/>
  <c r="B101" i="2" l="1"/>
  <c r="F101" i="2"/>
  <c r="D101" i="2"/>
  <c r="E101" i="2" s="1"/>
  <c r="K100" i="2"/>
  <c r="H100" i="2"/>
  <c r="G101" i="2" l="1"/>
  <c r="L101" i="2"/>
  <c r="C101" i="2"/>
  <c r="I101" i="2" s="1"/>
  <c r="H101" i="2"/>
  <c r="K101" i="2"/>
  <c r="B102" i="2" l="1"/>
  <c r="F102" i="2"/>
  <c r="D102" i="2"/>
  <c r="E102" i="2" s="1"/>
  <c r="G102" i="2" l="1"/>
  <c r="K102" i="2" s="1"/>
  <c r="L102" i="2"/>
  <c r="C102" i="2"/>
  <c r="I102" i="2" s="1"/>
  <c r="H102" i="2"/>
  <c r="B103" i="2" l="1"/>
  <c r="G103" i="2" l="1"/>
  <c r="L103" i="2"/>
  <c r="D103" i="2"/>
  <c r="E103" i="2"/>
  <c r="F103" i="2"/>
  <c r="C103" i="2"/>
  <c r="I103" i="2" s="1"/>
  <c r="B104" i="2" l="1"/>
  <c r="K103" i="2"/>
  <c r="H103" i="2"/>
  <c r="G104" i="2" l="1"/>
  <c r="L104" i="2"/>
  <c r="D104" i="2"/>
  <c r="E104" i="2"/>
  <c r="C104" i="2"/>
  <c r="I104" i="2" s="1"/>
  <c r="F104" i="2"/>
  <c r="B105" i="2" l="1"/>
  <c r="H104" i="2"/>
  <c r="D105" i="2"/>
  <c r="K104" i="2"/>
  <c r="F105" i="2"/>
  <c r="H105" i="2"/>
  <c r="E105" i="2"/>
  <c r="C105" i="2"/>
  <c r="I105" i="2" s="1"/>
  <c r="G105" i="2" l="1"/>
  <c r="K105" i="2" s="1"/>
  <c r="L105" i="2"/>
  <c r="B106" i="2"/>
  <c r="G106" i="2" l="1"/>
  <c r="L106" i="2"/>
  <c r="F106" i="2"/>
  <c r="D106" i="2"/>
  <c r="E106" i="2" s="1"/>
  <c r="C106" i="2" l="1"/>
  <c r="I106" i="2" s="1"/>
  <c r="K106" i="2"/>
  <c r="H106" i="2"/>
  <c r="B107" i="2" l="1"/>
  <c r="G107" i="2" l="1"/>
  <c r="L107" i="2"/>
  <c r="F107" i="2"/>
  <c r="D107" i="2"/>
  <c r="E107" i="2" s="1"/>
  <c r="K107" i="2" l="1"/>
  <c r="H107" i="2"/>
  <c r="C107" i="2"/>
  <c r="I107" i="2" s="1"/>
  <c r="B108" i="2" l="1"/>
  <c r="G108" i="2" l="1"/>
  <c r="L108" i="2"/>
  <c r="F108" i="2"/>
  <c r="D108" i="2"/>
  <c r="E108" i="2" s="1"/>
  <c r="C108" i="2" l="1"/>
  <c r="I108" i="2" s="1"/>
  <c r="K108" i="2"/>
  <c r="H108" i="2"/>
  <c r="B109" i="2" l="1"/>
  <c r="G109" i="2" l="1"/>
  <c r="L109" i="2"/>
  <c r="F109" i="2"/>
  <c r="D109" i="2"/>
  <c r="C109" i="2" s="1"/>
  <c r="I109" i="2" s="1"/>
  <c r="B110" i="2" l="1"/>
  <c r="K109" i="2"/>
  <c r="E109" i="2"/>
  <c r="H109" i="2"/>
  <c r="G110" i="2" l="1"/>
  <c r="L110" i="2"/>
  <c r="F110" i="2"/>
  <c r="D110" i="2"/>
  <c r="E110" i="2" s="1"/>
  <c r="K110" i="2" l="1"/>
  <c r="H110" i="2"/>
  <c r="C110" i="2"/>
  <c r="I110" i="2" s="1"/>
  <c r="B111" i="2" l="1"/>
  <c r="G111" i="2" l="1"/>
  <c r="L111" i="2"/>
  <c r="F111" i="2"/>
  <c r="H111" i="2"/>
  <c r="D111" i="2"/>
  <c r="E111" i="2" s="1"/>
  <c r="C111" i="2" l="1"/>
  <c r="I111" i="2" s="1"/>
  <c r="K111" i="2"/>
  <c r="B112" i="2" l="1"/>
  <c r="G112" i="2" l="1"/>
  <c r="L112" i="2"/>
  <c r="F112" i="2"/>
  <c r="D112" i="2"/>
  <c r="C112" i="2" s="1"/>
  <c r="I112" i="2" s="1"/>
  <c r="H112" i="2" l="1"/>
  <c r="B113" i="2"/>
  <c r="E112" i="2"/>
  <c r="K112" i="2"/>
  <c r="G113" i="2" l="1"/>
  <c r="L113" i="2"/>
  <c r="F113" i="2"/>
  <c r="H113" i="2"/>
  <c r="D113" i="2"/>
  <c r="E113" i="2" s="1"/>
  <c r="C113" i="2" l="1"/>
  <c r="I113" i="2" s="1"/>
  <c r="K113" i="2"/>
  <c r="B114" i="2" l="1"/>
  <c r="G114" i="2" l="1"/>
  <c r="L114" i="2"/>
  <c r="H114" i="2"/>
  <c r="F114" i="2"/>
  <c r="D114" i="2"/>
  <c r="E114" i="2" s="1"/>
  <c r="K114" i="2" l="1"/>
  <c r="C114" i="2"/>
  <c r="I114" i="2" s="1"/>
  <c r="B115" i="2" l="1"/>
  <c r="G115" i="2" l="1"/>
  <c r="L115" i="2"/>
  <c r="F115" i="2"/>
  <c r="D115" i="2"/>
  <c r="E115" i="2" s="1"/>
  <c r="C115" i="2" l="1"/>
  <c r="I115" i="2" s="1"/>
  <c r="K115" i="2"/>
  <c r="H115" i="2"/>
  <c r="B116" i="2" l="1"/>
  <c r="G116" i="2" l="1"/>
  <c r="L116" i="2"/>
  <c r="D116" i="2"/>
  <c r="E116" i="2" s="1"/>
  <c r="C116" i="2" l="1"/>
  <c r="I116" i="2" s="1"/>
  <c r="F116" i="2" l="1"/>
  <c r="B117" i="2"/>
  <c r="G117" i="2" l="1"/>
  <c r="L117" i="2"/>
  <c r="H116" i="2"/>
  <c r="K116" i="2"/>
  <c r="F117" i="2"/>
  <c r="D117" i="2"/>
  <c r="E117" i="2" s="1"/>
  <c r="C117" i="2" l="1"/>
  <c r="I117" i="2" s="1"/>
  <c r="K117" i="2"/>
  <c r="H117" i="2"/>
  <c r="B118" i="2" l="1"/>
  <c r="G118" i="2" l="1"/>
  <c r="L118" i="2"/>
  <c r="H118" i="2"/>
  <c r="F118" i="2"/>
  <c r="D118" i="2"/>
  <c r="C118" i="2" s="1"/>
  <c r="I118" i="2" s="1"/>
  <c r="E118" i="2" l="1"/>
  <c r="B119" i="2"/>
  <c r="K118" i="2"/>
  <c r="G119" i="2" l="1"/>
  <c r="L119" i="2"/>
  <c r="H119" i="2"/>
  <c r="F119" i="2"/>
  <c r="D119" i="2"/>
  <c r="E119" i="2" s="1"/>
  <c r="K119" i="2" l="1"/>
  <c r="C119" i="2"/>
  <c r="I119" i="2" s="1"/>
  <c r="B120" i="2" l="1"/>
  <c r="G120" i="2" l="1"/>
  <c r="L120" i="2"/>
  <c r="F120" i="2"/>
  <c r="H120" i="2"/>
  <c r="D120" i="2"/>
  <c r="E120" i="2" s="1"/>
  <c r="K120" i="2" l="1"/>
  <c r="C120" i="2"/>
  <c r="I120" i="2" s="1"/>
  <c r="B121" i="2" l="1"/>
  <c r="G121" i="2" l="1"/>
  <c r="L121" i="2"/>
  <c r="F121" i="2"/>
  <c r="H121" i="2"/>
  <c r="D121" i="2"/>
  <c r="E121" i="2" s="1"/>
  <c r="C121" i="2" l="1"/>
  <c r="I121" i="2" s="1"/>
  <c r="K121" i="2"/>
  <c r="B122" i="2" l="1"/>
  <c r="G122" i="2" l="1"/>
  <c r="L122" i="2"/>
  <c r="F122" i="2"/>
  <c r="H122" i="2"/>
  <c r="D122" i="2"/>
  <c r="E122" i="2" s="1"/>
  <c r="C122" i="2" l="1"/>
  <c r="I122" i="2" s="1"/>
  <c r="K122" i="2"/>
  <c r="B123" i="2" l="1"/>
  <c r="G123" i="2" l="1"/>
  <c r="L123" i="2"/>
  <c r="F123" i="2"/>
  <c r="D123" i="2"/>
  <c r="C123" i="2" s="1"/>
  <c r="I123" i="2" s="1"/>
  <c r="H123" i="2" l="1"/>
  <c r="B124" i="2"/>
  <c r="E123" i="2"/>
  <c r="K123" i="2"/>
  <c r="G124" i="2" l="1"/>
  <c r="L124" i="2"/>
  <c r="F124" i="2"/>
  <c r="H124" i="2"/>
  <c r="D124" i="2"/>
  <c r="E124" i="2" s="1"/>
  <c r="C124" i="2" l="1"/>
  <c r="I124" i="2" s="1"/>
  <c r="K124" i="2"/>
  <c r="B125" i="2" l="1"/>
  <c r="F125" i="2" s="1"/>
  <c r="D125" i="2"/>
  <c r="E125" i="2" s="1"/>
  <c r="G125" i="2" l="1"/>
  <c r="L125" i="2"/>
  <c r="H125" i="2"/>
  <c r="C125" i="2"/>
  <c r="I125" i="2" s="1"/>
  <c r="K125" i="2"/>
  <c r="B126" i="2" l="1"/>
  <c r="G126" i="2" l="1"/>
  <c r="L126" i="2"/>
  <c r="F126" i="2"/>
  <c r="D126" i="2"/>
  <c r="E126" i="2" s="1"/>
  <c r="C126" i="2" l="1"/>
  <c r="I126" i="2" s="1"/>
  <c r="K126" i="2"/>
  <c r="H126" i="2"/>
  <c r="B127" i="2" l="1"/>
  <c r="F127" i="2"/>
  <c r="D127" i="2"/>
  <c r="E127" i="2" s="1"/>
  <c r="G127" i="2" l="1"/>
  <c r="K127" i="2" s="1"/>
  <c r="L127" i="2"/>
  <c r="C127" i="2"/>
  <c r="I127" i="2" s="1"/>
  <c r="H127" i="2"/>
  <c r="B128" i="2" l="1"/>
  <c r="G128" i="2" l="1"/>
  <c r="L128" i="2"/>
  <c r="F128" i="2"/>
  <c r="D128" i="2"/>
  <c r="E128" i="2" s="1"/>
  <c r="K128" i="2" l="1"/>
  <c r="H128" i="2"/>
  <c r="C128" i="2"/>
  <c r="I128" i="2" s="1"/>
  <c r="B129" i="2" l="1"/>
  <c r="G129" i="2" l="1"/>
  <c r="L129" i="2"/>
  <c r="F129" i="2"/>
  <c r="H129" i="2"/>
  <c r="D129" i="2"/>
  <c r="C129" i="2" s="1"/>
  <c r="I129" i="2" s="1"/>
  <c r="B130" i="2" l="1"/>
  <c r="E129" i="2"/>
  <c r="K129" i="2"/>
  <c r="E5" i="2" s="1"/>
  <c r="G130" i="2" l="1"/>
  <c r="L130" i="2"/>
  <c r="F130" i="2"/>
  <c r="D130" i="2"/>
  <c r="C130" i="2" s="1"/>
  <c r="I130" i="2" s="1"/>
  <c r="H130" i="2" l="1"/>
  <c r="B131" i="2"/>
  <c r="K130" i="2"/>
  <c r="E130" i="2"/>
  <c r="G131" i="2" l="1"/>
  <c r="L131" i="2"/>
  <c r="H131" i="2"/>
  <c r="F131" i="2"/>
  <c r="D131" i="2"/>
  <c r="E131" i="2" s="1"/>
  <c r="K131" i="2" l="1"/>
  <c r="C131" i="2"/>
  <c r="I131" i="2" s="1"/>
  <c r="B132" i="2" l="1"/>
  <c r="G132" i="2" l="1"/>
  <c r="L132" i="2"/>
  <c r="F132" i="2"/>
  <c r="D132" i="2"/>
  <c r="E132" i="2" s="1"/>
  <c r="H132" i="2" l="1"/>
  <c r="C132" i="2"/>
  <c r="I132" i="2" s="1"/>
  <c r="K132" i="2"/>
  <c r="B133" i="2" l="1"/>
  <c r="G133" i="2" l="1"/>
  <c r="L133" i="2"/>
  <c r="F133" i="2"/>
  <c r="D133" i="2"/>
  <c r="E133" i="2" s="1"/>
  <c r="K133" i="2" l="1"/>
  <c r="H133" i="2"/>
  <c r="C133" i="2"/>
  <c r="I133" i="2" s="1"/>
  <c r="B134" i="2" l="1"/>
  <c r="G134" i="2" l="1"/>
  <c r="L134" i="2"/>
  <c r="F134" i="2"/>
  <c r="D134" i="2"/>
  <c r="E134" i="2" s="1"/>
  <c r="C134" i="2" l="1"/>
  <c r="I134" i="2" s="1"/>
  <c r="K134" i="2"/>
  <c r="H134" i="2"/>
  <c r="B135" i="2" l="1"/>
  <c r="F135" i="2"/>
  <c r="D135" i="2"/>
  <c r="E135" i="2" s="1"/>
  <c r="G135" i="2" l="1"/>
  <c r="K135" i="2" s="1"/>
  <c r="L135" i="2"/>
  <c r="C135" i="2"/>
  <c r="I135" i="2" s="1"/>
  <c r="H135" i="2"/>
  <c r="B136" i="2" l="1"/>
  <c r="G136" i="2" l="1"/>
  <c r="L136" i="2"/>
  <c r="E7" i="2"/>
  <c r="G9" i="4" s="1"/>
  <c r="D136" i="2"/>
  <c r="C136" i="2" l="1"/>
  <c r="I136" i="2" s="1"/>
  <c r="E136" i="2"/>
  <c r="E6" i="2" l="1"/>
  <c r="G7" i="4" s="1"/>
  <c r="G10" i="4" s="1"/>
  <c r="F136" i="2"/>
  <c r="K136" i="2" l="1"/>
  <c r="K15" i="2" s="1"/>
  <c r="H136" i="2"/>
  <c r="E4" i="2" l="1"/>
  <c r="G12" i="4" s="1"/>
  <c r="K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tc={A3296E9E-333F-4C6D-AD33-734A91C62316}</author>
    <author>tc={3D3A34F4-E5A1-4DE0-999C-093C9D784F37}</author>
  </authors>
  <commentList>
    <comment ref="C2" authorId="0" shapeId="0" xr:uid="{A3296E9E-333F-4C6D-AD33-734A91C623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las operaciones de Vehículo particular el cobro será cuota fija por millón sobre el valor inicial del crédito.</t>
      </text>
    </comment>
    <comment ref="C3" authorId="1" shapeId="0" xr:uid="{3D3A34F4-E5A1-4DE0-999C-093C9D784F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Vehículos Comerciales el cobro será por millón sobre el saldo de la obligación al corte de facturación.</t>
      </text>
    </comment>
  </commentList>
</comments>
</file>

<file path=xl/sharedStrings.xml><?xml version="1.0" encoding="utf-8"?>
<sst xmlns="http://schemas.openxmlformats.org/spreadsheetml/2006/main" count="77" uniqueCount="55">
  <si>
    <t>Producto</t>
  </si>
  <si>
    <t>Líneas Negocio</t>
  </si>
  <si>
    <t>Fondo</t>
  </si>
  <si>
    <t>Seguro Vida</t>
  </si>
  <si>
    <t>Estudio Crédito</t>
  </si>
  <si>
    <t>GMF</t>
  </si>
  <si>
    <t>Plazo Max</t>
  </si>
  <si>
    <t>Observación</t>
  </si>
  <si>
    <t>Cuota</t>
  </si>
  <si>
    <t>Fija</t>
  </si>
  <si>
    <t>No</t>
  </si>
  <si>
    <t>Convenio</t>
  </si>
  <si>
    <t>Fecha Desembolso</t>
  </si>
  <si>
    <t>Fecha 1 cuota</t>
  </si>
  <si>
    <t>Plazo Meses</t>
  </si>
  <si>
    <t>Tipo Tasa</t>
  </si>
  <si>
    <t>VTU* % E.A.</t>
  </si>
  <si>
    <t>Valor Tasa EA</t>
  </si>
  <si>
    <t>VTU* ($)</t>
  </si>
  <si>
    <t>Tasa NMV</t>
  </si>
  <si>
    <t>* Los Valores resultan de una proyección y podrán variar de acuerdo a las condiciones del crédito</t>
  </si>
  <si>
    <t>Capital</t>
  </si>
  <si>
    <t>Interes_Cte</t>
  </si>
  <si>
    <t>Intereses</t>
  </si>
  <si>
    <t>Saldo Capital</t>
  </si>
  <si>
    <t>Flujos VTU*</t>
  </si>
  <si>
    <t>xxx</t>
  </si>
  <si>
    <t>Bancaseguro</t>
  </si>
  <si>
    <t>Vr. Crédito</t>
  </si>
  <si>
    <t>Fecha Simulación</t>
  </si>
  <si>
    <t>(%) Tasa E.A.</t>
  </si>
  <si>
    <t>Estudio de Crédito</t>
  </si>
  <si>
    <t>Cuota + Seguros</t>
  </si>
  <si>
    <t>Seguro de Vida</t>
  </si>
  <si>
    <t>VTU</t>
  </si>
  <si>
    <t xml:space="preserve">Datos  Simulación </t>
  </si>
  <si>
    <t>VTU % E.A.</t>
  </si>
  <si>
    <t>El VTU no corresponde a una tasa de interés. Es la suma que podría pagar un cliente por el crédito aprobado, se expresará en terminos porcentuales y su resultante en pesos.</t>
  </si>
  <si>
    <t>Valor a Financiar*</t>
  </si>
  <si>
    <t>Plazo en Meses*</t>
  </si>
  <si>
    <t>(%) Tasa M.V*</t>
  </si>
  <si>
    <t>* Campos a Diligenciar</t>
  </si>
  <si>
    <t>Simulador VTU  - Crédito de Vehículo</t>
  </si>
  <si>
    <t>Seguro: Sobre el Vr. Del desembolso</t>
  </si>
  <si>
    <t>Total VTU en Pesos ($)</t>
  </si>
  <si>
    <t>Simulador VTU</t>
  </si>
  <si>
    <t>Esta simulación es de carácter informativo y no constituye en ningún evento una oferta comercial</t>
  </si>
  <si>
    <t>El resultado de esta simulación corresponde a una proyección y los valores resultantes podrán variar al momento de contratar los productos de acuerdo a las condiciones, tasas y tarifas vigentes</t>
  </si>
  <si>
    <t>En el cálculo del VTU no se incluyen costos de servicios transaccionales</t>
  </si>
  <si>
    <t>Tasa M.V: Corresponde a la tasa mes vencido</t>
  </si>
  <si>
    <t>Tasa E.A: Corresponde a la tasa efectiva anual</t>
  </si>
  <si>
    <t>Para conocer las condiciones de los cobros de Comisión de Disponibilidad, seguro de vida y estudio de crédito, deberá consultar el tarifario vigente dsiponible en la web del Banco www.bancopichincha.com.co</t>
  </si>
  <si>
    <t>Saldo Insoluto</t>
  </si>
  <si>
    <t>Comercial</t>
  </si>
  <si>
    <t>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</si>
</sst>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0.00%\ &quot;E.A&quot;"/>
    <numFmt numFmtId="169" formatCode="&quot;$&quot;\ #,##0.00_);[Red]\(&quot;$&quot;\ #,##0.00\)"/>
    <numFmt numFmtId="170" formatCode=";;;"/>
    <numFmt numFmtId="171" formatCode="0.00%&quot; NMV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B2D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DD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theme="0"/>
      </right>
      <top style="hair">
        <color auto="1"/>
      </top>
      <bottom style="hair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1" applyProtection="1"/>
    <xf numFmtId="0" fontId="2" fillId="2" borderId="1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 vertical="center"/>
    </xf>
    <xf numFmtId="0" fontId="1" fillId="0" borderId="1" xfId="1" applyFont="1" applyBorder="1" applyProtection="1"/>
    <xf numFmtId="15" fontId="1" fillId="0" borderId="1" xfId="1" applyNumberFormat="1" applyFont="1" applyBorder="1" applyAlignment="1" applyProtection="1">
      <alignment horizontal="center"/>
    </xf>
    <xf numFmtId="0" fontId="1" fillId="0" borderId="1" xfId="1" applyFont="1" applyBorder="1" applyAlignment="1" applyProtection="1">
      <alignment wrapText="1"/>
    </xf>
    <xf numFmtId="0" fontId="1" fillId="0" borderId="1" xfId="1" applyFont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</xf>
    <xf numFmtId="168" fontId="1" fillId="0" borderId="1" xfId="1" applyNumberFormat="1" applyFont="1" applyFill="1" applyBorder="1" applyAlignment="1" applyProtection="1">
      <alignment horizontal="center"/>
    </xf>
    <xf numFmtId="10" fontId="1" fillId="0" borderId="1" xfId="1" applyNumberFormat="1" applyFont="1" applyBorder="1" applyAlignment="1" applyProtection="1">
      <alignment horizontal="center"/>
    </xf>
    <xf numFmtId="164" fontId="6" fillId="0" borderId="0" xfId="1" applyNumberFormat="1" applyProtection="1"/>
    <xf numFmtId="10" fontId="6" fillId="0" borderId="0" xfId="1" applyNumberFormat="1" applyProtection="1"/>
    <xf numFmtId="10" fontId="1" fillId="0" borderId="1" xfId="1" applyNumberFormat="1" applyFont="1" applyFill="1" applyBorder="1" applyAlignment="1" applyProtection="1">
      <alignment horizontal="center" vertical="center"/>
    </xf>
    <xf numFmtId="6" fontId="6" fillId="0" borderId="0" xfId="1" applyNumberFormat="1" applyProtection="1"/>
    <xf numFmtId="0" fontId="1" fillId="0" borderId="0" xfId="1" applyFont="1" applyProtection="1"/>
    <xf numFmtId="44" fontId="6" fillId="0" borderId="0" xfId="1" applyNumberFormat="1" applyProtection="1"/>
    <xf numFmtId="0" fontId="9" fillId="0" borderId="0" xfId="1" applyFont="1" applyFill="1" applyBorder="1" applyProtection="1"/>
    <xf numFmtId="169" fontId="6" fillId="0" borderId="0" xfId="1" applyNumberFormat="1" applyProtection="1"/>
    <xf numFmtId="170" fontId="6" fillId="0" borderId="0" xfId="1" applyNumberFormat="1" applyProtection="1"/>
    <xf numFmtId="0" fontId="10" fillId="2" borderId="4" xfId="0" applyFont="1" applyFill="1" applyBorder="1" applyAlignment="1" applyProtection="1">
      <alignment horizontal="center" vertical="center" wrapText="1"/>
    </xf>
    <xf numFmtId="0" fontId="6" fillId="0" borderId="0" xfId="1" applyAlignment="1" applyProtection="1">
      <alignment horizontal="center" vertical="center" wrapText="1"/>
    </xf>
    <xf numFmtId="4" fontId="6" fillId="0" borderId="0" xfId="1" applyNumberFormat="1" applyAlignment="1" applyProtection="1">
      <alignment horizontal="center" vertical="center" wrapText="1"/>
    </xf>
    <xf numFmtId="164" fontId="1" fillId="0" borderId="0" xfId="2" applyFont="1" applyProtection="1"/>
    <xf numFmtId="40" fontId="1" fillId="0" borderId="0" xfId="1" applyNumberFormat="1" applyFont="1" applyProtection="1"/>
    <xf numFmtId="165" fontId="1" fillId="0" borderId="0" xfId="1" applyNumberFormat="1" applyFont="1" applyProtection="1"/>
    <xf numFmtId="165" fontId="1" fillId="0" borderId="0" xfId="2" applyNumberFormat="1" applyFont="1" applyFill="1" applyProtection="1"/>
    <xf numFmtId="165" fontId="1" fillId="0" borderId="0" xfId="1" applyNumberFormat="1" applyFont="1" applyFill="1" applyProtection="1"/>
    <xf numFmtId="164" fontId="1" fillId="0" borderId="0" xfId="1" applyNumberFormat="1" applyFont="1" applyProtection="1"/>
    <xf numFmtId="170" fontId="5" fillId="4" borderId="0" xfId="1" applyNumberFormat="1" applyFont="1" applyFill="1" applyAlignment="1" applyProtection="1">
      <alignment horizontal="center" vertical="center"/>
    </xf>
    <xf numFmtId="170" fontId="1" fillId="4" borderId="0" xfId="1" applyNumberFormat="1" applyFont="1" applyFill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6" fillId="0" borderId="0" xfId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165" fontId="11" fillId="0" borderId="0" xfId="2" applyNumberFormat="1" applyFont="1" applyAlignment="1">
      <alignment horizontal="center" vertical="center"/>
    </xf>
    <xf numFmtId="167" fontId="11" fillId="0" borderId="0" xfId="4" applyNumberFormat="1" applyFont="1" applyAlignment="1">
      <alignment horizontal="center" vertical="center"/>
    </xf>
    <xf numFmtId="165" fontId="11" fillId="0" borderId="0" xfId="2" applyNumberFormat="1" applyFont="1" applyAlignment="1">
      <alignment horizontal="left" vertical="center" wrapText="1"/>
    </xf>
    <xf numFmtId="0" fontId="11" fillId="0" borderId="0" xfId="1" applyFont="1"/>
    <xf numFmtId="0" fontId="6" fillId="0" borderId="0" xfId="1" applyFont="1"/>
    <xf numFmtId="6" fontId="0" fillId="0" borderId="0" xfId="0" applyNumberFormat="1"/>
    <xf numFmtId="0" fontId="8" fillId="0" borderId="1" xfId="1" applyFont="1" applyBorder="1" applyAlignment="1" applyProtection="1">
      <alignment horizontal="left" vertical="center" wrapText="1"/>
    </xf>
    <xf numFmtId="0" fontId="0" fillId="0" borderId="1" xfId="1" applyFont="1" applyFill="1" applyBorder="1" applyAlignment="1" applyProtection="1">
      <alignment horizontal="center" vertical="center"/>
    </xf>
    <xf numFmtId="6" fontId="1" fillId="0" borderId="0" xfId="1" applyNumberFormat="1" applyFont="1" applyFill="1" applyProtection="1"/>
    <xf numFmtId="6" fontId="1" fillId="0" borderId="0" xfId="2" applyNumberFormat="1" applyFont="1" applyFill="1" applyProtection="1"/>
    <xf numFmtId="0" fontId="12" fillId="2" borderId="3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6" fontId="0" fillId="0" borderId="0" xfId="0" applyNumberFormat="1" applyAlignment="1">
      <alignment horizontal="right" vertical="center"/>
    </xf>
    <xf numFmtId="0" fontId="13" fillId="2" borderId="5" xfId="1" applyFont="1" applyFill="1" applyBorder="1" applyAlignment="1" applyProtection="1">
      <alignment horizontal="center" vertical="center" wrapText="1"/>
    </xf>
    <xf numFmtId="6" fontId="14" fillId="5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2" borderId="1" xfId="1" applyFont="1" applyFill="1" applyBorder="1" applyAlignment="1" applyProtection="1">
      <alignment vertical="center"/>
    </xf>
    <xf numFmtId="6" fontId="1" fillId="0" borderId="1" xfId="2" applyNumberFormat="1" applyFont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15" fontId="14" fillId="5" borderId="5" xfId="0" applyNumberFormat="1" applyFont="1" applyFill="1" applyBorder="1" applyAlignment="1" applyProtection="1">
      <alignment horizontal="center" vertical="center"/>
      <protection locked="0"/>
    </xf>
    <xf numFmtId="10" fontId="14" fillId="5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3" borderId="0" xfId="1" applyFont="1" applyFill="1" applyBorder="1" applyAlignment="1" applyProtection="1">
      <alignment horizontal="center" vertical="center" wrapText="1"/>
    </xf>
    <xf numFmtId="171" fontId="4" fillId="3" borderId="0" xfId="3" applyNumberFormat="1" applyFont="1" applyFill="1" applyBorder="1" applyAlignment="1" applyProtection="1">
      <alignment horizontal="center" vertical="center" wrapText="1"/>
    </xf>
    <xf numFmtId="10" fontId="14" fillId="5" borderId="5" xfId="0" applyNumberFormat="1" applyFont="1" applyFill="1" applyBorder="1" applyAlignment="1" applyProtection="1">
      <alignment horizontal="center" vertical="center"/>
      <protection hidden="1"/>
    </xf>
    <xf numFmtId="6" fontId="14" fillId="5" borderId="5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10" fontId="14" fillId="5" borderId="5" xfId="0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6" fontId="4" fillId="0" borderId="1" xfId="1" applyNumberFormat="1" applyFont="1" applyFill="1" applyBorder="1" applyAlignment="1" applyProtection="1">
      <alignment vertical="center"/>
    </xf>
    <xf numFmtId="0" fontId="13" fillId="2" borderId="5" xfId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17" fillId="0" borderId="0" xfId="0" applyFont="1" applyBorder="1" applyAlignment="1">
      <alignment vertical="center"/>
    </xf>
    <xf numFmtId="0" fontId="10" fillId="2" borderId="8" xfId="0" applyFont="1" applyFill="1" applyBorder="1" applyAlignment="1" applyProtection="1">
      <alignment horizontal="center" vertical="center" wrapText="1"/>
    </xf>
    <xf numFmtId="6" fontId="14" fillId="5" borderId="5" xfId="0" applyNumberFormat="1" applyFont="1" applyFill="1" applyBorder="1" applyAlignment="1" applyProtection="1">
      <alignment horizontal="center" vertical="center"/>
      <protection locked="0"/>
    </xf>
    <xf numFmtId="6" fontId="14" fillId="5" borderId="5" xfId="0" applyNumberFormat="1" applyFont="1" applyFill="1" applyBorder="1" applyAlignment="1" applyProtection="1">
      <alignment horizontal="center" vertical="center"/>
      <protection locked="0" hidden="1"/>
    </xf>
    <xf numFmtId="0" fontId="16" fillId="7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3" fillId="0" borderId="0" xfId="1" applyFont="1" applyBorder="1" applyAlignment="1" applyProtection="1">
      <alignment horizontal="center" wrapText="1"/>
    </xf>
  </cellXfs>
  <cellStyles count="5">
    <cellStyle name="Millares 2" xfId="4" xr:uid="{F3DB3678-EAF6-4CE4-A726-D52A42F79AD5}"/>
    <cellStyle name="Moneda 2" xfId="2" xr:uid="{CAB95C77-1C8C-43CD-AE5C-263EBA8ECE09}"/>
    <cellStyle name="Normal" xfId="0" builtinId="0"/>
    <cellStyle name="Normal 3" xfId="1" xr:uid="{4AB896EC-FFC4-4F6F-89DA-B9C776118C9E}"/>
    <cellStyle name="Porcentaje 2" xfId="3" xr:uid="{4E48E87D-94AC-4DA5-A1BB-BDF4E7E4F04A}"/>
  </cellStyles>
  <dxfs count="4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57150</xdr:rowOff>
    </xdr:from>
    <xdr:to>
      <xdr:col>2</xdr:col>
      <xdr:colOff>1280833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9631E3-DDA8-422A-9680-6E05ED543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7150"/>
          <a:ext cx="129988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66674</xdr:rowOff>
    </xdr:from>
    <xdr:to>
      <xdr:col>1</xdr:col>
      <xdr:colOff>847726</xdr:colOff>
      <xdr:row>2</xdr:row>
      <xdr:rowOff>18719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66674"/>
          <a:ext cx="876300" cy="256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Financiera/23.%20Calculadoras/Sin%20Claves/Proyeccion%20creditos%20Pichincha_consolidado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U_Rotativo"/>
      <sheetName val="Home"/>
      <sheetName val="Simulador"/>
      <sheetName val="Param"/>
      <sheetName val="VTU_Ah_Cte"/>
      <sheetName val="VTU_CDT"/>
      <sheetName val="Convenios"/>
      <sheetName val="Libranza"/>
      <sheetName val="Param_Libranza"/>
      <sheetName val="Calculo_Cuota"/>
      <sheetName val="Normalizacion"/>
      <sheetName val="Hoja1"/>
      <sheetName val="Proyeccion creditos Pichincha_c"/>
    </sheetNames>
    <sheetDataSet>
      <sheetData sheetId="0"/>
      <sheetData sheetId="1"/>
      <sheetData sheetId="2"/>
      <sheetData sheetId="3">
        <row r="1">
          <cell r="E1" t="str">
            <v>Líneas Negocio</v>
          </cell>
          <cell r="F1" t="str">
            <v>Aval</v>
          </cell>
          <cell r="G1" t="str">
            <v>Fondo</v>
          </cell>
          <cell r="H1" t="str">
            <v>Seguro Vida</v>
          </cell>
          <cell r="I1" t="str">
            <v>Estudio Crédito</v>
          </cell>
          <cell r="J1" t="str">
            <v>Comisión Disponibilidad</v>
          </cell>
          <cell r="K1" t="str">
            <v>Inscripción Garantía</v>
          </cell>
          <cell r="L1" t="str">
            <v>GMF</v>
          </cell>
        </row>
        <row r="2">
          <cell r="A2" t="str">
            <v>Educativo</v>
          </cell>
          <cell r="E2" t="str">
            <v>Educativo Postgrado</v>
          </cell>
          <cell r="F2"/>
          <cell r="G2"/>
          <cell r="H2">
            <v>8.8999999999999995E-4</v>
          </cell>
          <cell r="I2"/>
          <cell r="J2">
            <v>2800</v>
          </cell>
          <cell r="K2"/>
          <cell r="L2" t="str">
            <v>Si</v>
          </cell>
          <cell r="AB2">
            <v>828116</v>
          </cell>
        </row>
        <row r="3">
          <cell r="A3" t="str">
            <v>Inverprimas</v>
          </cell>
          <cell r="E3" t="str">
            <v>Educativo Pagaré Aval</v>
          </cell>
          <cell r="F3">
            <v>0.02</v>
          </cell>
          <cell r="G3"/>
          <cell r="H3">
            <v>8.8999999999999995E-4</v>
          </cell>
          <cell r="I3">
            <v>15000</v>
          </cell>
          <cell r="J3"/>
          <cell r="K3"/>
          <cell r="L3" t="str">
            <v>Si</v>
          </cell>
        </row>
        <row r="4">
          <cell r="A4" t="str">
            <v>Vehículos</v>
          </cell>
          <cell r="E4" t="str">
            <v>Educativo Rotativo</v>
          </cell>
          <cell r="F4"/>
          <cell r="G4"/>
          <cell r="H4">
            <v>8.8999999999999995E-4</v>
          </cell>
          <cell r="I4"/>
          <cell r="J4">
            <v>11150</v>
          </cell>
          <cell r="K4"/>
          <cell r="L4" t="str">
            <v>Si</v>
          </cell>
        </row>
        <row r="5">
          <cell r="A5" t="str">
            <v>Prestaexpress</v>
          </cell>
          <cell r="E5" t="str">
            <v>Credioficial</v>
          </cell>
          <cell r="F5"/>
          <cell r="G5"/>
          <cell r="H5">
            <v>1.4300000000000001E-3</v>
          </cell>
          <cell r="I5">
            <v>85850</v>
          </cell>
          <cell r="J5"/>
          <cell r="K5"/>
          <cell r="L5" t="str">
            <v>No</v>
          </cell>
        </row>
        <row r="6">
          <cell r="A6" t="str">
            <v>Credifijo</v>
          </cell>
          <cell r="E6" t="str">
            <v>Crediflash</v>
          </cell>
          <cell r="F6"/>
          <cell r="G6"/>
          <cell r="H6">
            <v>1.4300000000000001E-3</v>
          </cell>
          <cell r="I6">
            <v>32400</v>
          </cell>
          <cell r="J6"/>
          <cell r="K6"/>
          <cell r="L6" t="str">
            <v>No</v>
          </cell>
        </row>
        <row r="7">
          <cell r="E7" t="str">
            <v>Vh. Particular</v>
          </cell>
          <cell r="F7"/>
          <cell r="G7"/>
          <cell r="H7">
            <v>8.8999999999999995E-4</v>
          </cell>
          <cell r="K7">
            <v>52030</v>
          </cell>
          <cell r="L7" t="str">
            <v>No</v>
          </cell>
        </row>
        <row r="8">
          <cell r="E8" t="str">
            <v>Vh. Comercial</v>
          </cell>
          <cell r="F8"/>
          <cell r="H8">
            <v>8.8999999999999995E-4</v>
          </cell>
          <cell r="K8">
            <v>52030</v>
          </cell>
          <cell r="L8" t="str">
            <v>No</v>
          </cell>
        </row>
        <row r="9">
          <cell r="E9" t="str">
            <v>Inverprimas</v>
          </cell>
          <cell r="I9">
            <v>1500</v>
          </cell>
          <cell r="L9" t="str">
            <v>Si</v>
          </cell>
        </row>
        <row r="10">
          <cell r="E10" t="str">
            <v>Prestaexpress</v>
          </cell>
          <cell r="G10"/>
          <cell r="H10">
            <v>8.8999999999999995E-4</v>
          </cell>
          <cell r="I10">
            <v>38750</v>
          </cell>
          <cell r="L10" t="str">
            <v>No</v>
          </cell>
        </row>
        <row r="11">
          <cell r="E11" t="str">
            <v>Credifijo</v>
          </cell>
          <cell r="G11"/>
          <cell r="H11">
            <v>8.8999999999999995E-4</v>
          </cell>
          <cell r="I11">
            <v>39100</v>
          </cell>
          <cell r="L11" t="str">
            <v>No</v>
          </cell>
        </row>
      </sheetData>
      <sheetData sheetId="4"/>
      <sheetData sheetId="5"/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A3" t="str">
            <v xml:space="preserve">Cód </v>
          </cell>
          <cell r="B3" t="str">
            <v>Nombre</v>
          </cell>
          <cell r="C3" t="str">
            <v>Días Gracia</v>
          </cell>
          <cell r="D3" t="str">
            <v>Días adicionales compra cartera</v>
          </cell>
          <cell r="E3" t="str">
            <v>Día corte</v>
          </cell>
          <cell r="F3" t="str">
            <v>Día Reporte</v>
          </cell>
        </row>
        <row r="4">
          <cell r="A4">
            <v>123</v>
          </cell>
          <cell r="B4" t="str">
            <v>Prueba Policia Nacional</v>
          </cell>
          <cell r="C4">
            <v>30</v>
          </cell>
          <cell r="D4">
            <v>60</v>
          </cell>
          <cell r="E4">
            <v>30</v>
          </cell>
          <cell r="F4">
            <v>5</v>
          </cell>
        </row>
        <row r="5">
          <cell r="A5">
            <v>456</v>
          </cell>
          <cell r="B5" t="str">
            <v>Prueba Ejercito</v>
          </cell>
          <cell r="C5">
            <v>30</v>
          </cell>
          <cell r="D5">
            <v>40</v>
          </cell>
          <cell r="E5">
            <v>5</v>
          </cell>
          <cell r="F5">
            <v>27</v>
          </cell>
        </row>
        <row r="6">
          <cell r="A6">
            <v>879</v>
          </cell>
          <cell r="B6" t="str">
            <v>Prueba Casur</v>
          </cell>
          <cell r="C6">
            <v>20</v>
          </cell>
          <cell r="D6">
            <v>45</v>
          </cell>
          <cell r="E6">
            <v>15</v>
          </cell>
          <cell r="F6">
            <v>25</v>
          </cell>
        </row>
      </sheetData>
      <sheetData sheetId="7"/>
      <sheetData sheetId="8">
        <row r="1">
          <cell r="C1" t="str">
            <v>Líneas Negocio</v>
          </cell>
        </row>
      </sheetData>
      <sheetData sheetId="9">
        <row r="19">
          <cell r="C19">
            <v>33550</v>
          </cell>
        </row>
        <row r="20">
          <cell r="C20">
            <v>13387</v>
          </cell>
          <cell r="E20">
            <v>221210.00522905553</v>
          </cell>
        </row>
        <row r="21">
          <cell r="E21">
            <v>28600</v>
          </cell>
        </row>
        <row r="22">
          <cell r="E22">
            <v>26774</v>
          </cell>
        </row>
      </sheetData>
      <sheetData sheetId="10"/>
      <sheetData sheetId="1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gie Lorena Cordoba Mancipe" id="{7EF7CA79-7D97-4CA9-A4BE-DAF37F53D19D}" userId="S::angie.cordoba@pichincha.com.co::d2817f8d-cda3-4c99-b35c-068e5b88b15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0-10-29T16:20:22.20" personId="{7EF7CA79-7D97-4CA9-A4BE-DAF37F53D19D}" id="{A3296E9E-333F-4C6D-AD33-734A91C62316}">
    <text>Para las operaciones de Vehículo particular el cobro será cuota fija por millón sobre el valor inicial del crédito.</text>
  </threadedComment>
  <threadedComment ref="C3" dT="2020-10-29T16:20:35.86" personId="{7EF7CA79-7D97-4CA9-A4BE-DAF37F53D19D}" id="{3D3A34F4-E5A1-4DE0-999C-093C9D784F37}">
    <text>Para Vehículos Comerciales el cobro será por millón sobre el saldo de la obligación al corte de facturación.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7CDA-BF33-4CA9-A470-A50AA12BCCF0}">
  <dimension ref="A1:J24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" sqref="C2:G2"/>
    </sheetView>
  </sheetViews>
  <sheetFormatPr baseColWidth="10" defaultColWidth="0" defaultRowHeight="15" zeroHeight="1" x14ac:dyDescent="0.25"/>
  <cols>
    <col min="1" max="2" width="1.5703125" customWidth="1"/>
    <col min="3" max="3" width="21.7109375" style="48" customWidth="1"/>
    <col min="4" max="4" width="23.28515625" style="48" customWidth="1"/>
    <col min="5" max="5" width="17.140625" customWidth="1"/>
    <col min="6" max="6" width="26.5703125" customWidth="1"/>
    <col min="7" max="7" width="26" customWidth="1"/>
    <col min="8" max="8" width="6" customWidth="1"/>
    <col min="9" max="10" width="0" hidden="1" customWidth="1"/>
    <col min="11" max="16384" width="11.42578125" hidden="1"/>
  </cols>
  <sheetData>
    <row r="1" spans="3:8" ht="7.5" customHeight="1" x14ac:dyDescent="0.25"/>
    <row r="2" spans="3:8" ht="23.25" x14ac:dyDescent="0.25">
      <c r="C2" s="73" t="s">
        <v>42</v>
      </c>
      <c r="D2" s="73"/>
      <c r="E2" s="73"/>
      <c r="F2" s="73"/>
      <c r="G2" s="73"/>
    </row>
    <row r="3" spans="3:8" ht="9.75" customHeight="1" thickBot="1" x14ac:dyDescent="0.3">
      <c r="C3" s="52"/>
      <c r="D3" s="52"/>
      <c r="E3" s="52"/>
      <c r="F3" s="52"/>
      <c r="G3" s="52"/>
    </row>
    <row r="4" spans="3:8" ht="20.25" thickTop="1" thickBot="1" x14ac:dyDescent="0.3">
      <c r="C4" s="74" t="s">
        <v>35</v>
      </c>
      <c r="D4" s="75"/>
      <c r="F4" s="74" t="s">
        <v>34</v>
      </c>
      <c r="G4" s="75"/>
    </row>
    <row r="5" spans="3:8" ht="20.25" customHeight="1" thickTop="1" thickBot="1" x14ac:dyDescent="0.3">
      <c r="C5" s="67" t="s">
        <v>0</v>
      </c>
      <c r="D5" s="72" t="s">
        <v>54</v>
      </c>
      <c r="F5" s="67" t="s">
        <v>21</v>
      </c>
      <c r="G5" s="62">
        <f>+$D$6</f>
        <v>50000000</v>
      </c>
    </row>
    <row r="6" spans="3:8" ht="20.25" customHeight="1" thickTop="1" thickBot="1" x14ac:dyDescent="0.3">
      <c r="C6" s="67" t="s">
        <v>38</v>
      </c>
      <c r="D6" s="71">
        <v>50000000</v>
      </c>
      <c r="F6" s="67" t="s">
        <v>31</v>
      </c>
      <c r="G6" s="62">
        <f>VLOOKUP(Simulador!$D$5,Param!$A$1:$G$3,4,0)</f>
        <v>0</v>
      </c>
    </row>
    <row r="7" spans="3:8" ht="20.25" customHeight="1" thickTop="1" thickBot="1" x14ac:dyDescent="0.3">
      <c r="C7" s="67" t="s">
        <v>39</v>
      </c>
      <c r="D7" s="55">
        <v>60</v>
      </c>
      <c r="E7" s="65" t="str">
        <f>IF(D7&gt;VLOOKUP($D$5,Param!$A$1:$G$3,6,0),"Plazo superior al de pólitica del producto, plazo máximo de 72 meses","")</f>
        <v/>
      </c>
      <c r="F7" s="67" t="s">
        <v>23</v>
      </c>
      <c r="G7" s="62">
        <f>+Flujo!$E$6</f>
        <v>15827311.368383728</v>
      </c>
    </row>
    <row r="8" spans="3:8" ht="20.25" hidden="1" customHeight="1" thickTop="1" thickBot="1" x14ac:dyDescent="0.3">
      <c r="C8" s="67" t="s">
        <v>29</v>
      </c>
      <c r="D8" s="56">
        <f ca="1">TODAY()</f>
        <v>44494</v>
      </c>
      <c r="F8" s="68"/>
      <c r="G8" s="63"/>
    </row>
    <row r="9" spans="3:8" ht="20.25" customHeight="1" thickTop="1" thickBot="1" x14ac:dyDescent="0.3">
      <c r="C9" s="67" t="s">
        <v>40</v>
      </c>
      <c r="D9" s="57">
        <v>9.4999999999999998E-3</v>
      </c>
      <c r="F9" s="67" t="s">
        <v>33</v>
      </c>
      <c r="G9" s="62">
        <f>+Flujo!$E$7</f>
        <v>4845000</v>
      </c>
      <c r="H9" s="41"/>
    </row>
    <row r="10" spans="3:8" ht="20.25" customHeight="1" thickTop="1" thickBot="1" x14ac:dyDescent="0.3">
      <c r="C10" s="67" t="s">
        <v>30</v>
      </c>
      <c r="D10" s="61">
        <f>((1+D9)^12)-1</f>
        <v>0.12014921627417685</v>
      </c>
      <c r="F10" s="67" t="s">
        <v>44</v>
      </c>
      <c r="G10" s="62">
        <f>SUM(G5:G9)</f>
        <v>70672311.368383735</v>
      </c>
    </row>
    <row r="11" spans="3:8" ht="26.25" hidden="1" customHeight="1" thickTop="1" thickBot="1" x14ac:dyDescent="0.3">
      <c r="C11" s="50" t="s">
        <v>8</v>
      </c>
      <c r="D11" s="51">
        <f>ROUND(PMT($D$9,D7,-$D$6),0)</f>
        <v>1097122</v>
      </c>
      <c r="F11" s="63"/>
      <c r="G11" s="63"/>
    </row>
    <row r="12" spans="3:8" ht="18.600000000000001" customHeight="1" thickTop="1" thickBot="1" x14ac:dyDescent="0.3">
      <c r="C12" s="58" t="s">
        <v>41</v>
      </c>
      <c r="D12" s="49"/>
      <c r="F12" s="67" t="s">
        <v>36</v>
      </c>
      <c r="G12" s="64">
        <f>IF($D$7="","",IF($D$6="","",Flujo!$E$4))</f>
        <v>0.15567313880092581</v>
      </c>
    </row>
    <row r="13" spans="3:8" ht="8.25" customHeight="1" thickTop="1" x14ac:dyDescent="0.25">
      <c r="C13" s="58"/>
      <c r="D13" s="49"/>
    </row>
    <row r="14" spans="3:8" x14ac:dyDescent="0.25">
      <c r="C14" s="69" t="s">
        <v>46</v>
      </c>
      <c r="D14" s="49"/>
    </row>
    <row r="15" spans="3:8" ht="24.75" customHeight="1" x14ac:dyDescent="0.25">
      <c r="C15" s="76" t="s">
        <v>47</v>
      </c>
      <c r="D15" s="76"/>
      <c r="E15" s="76"/>
      <c r="F15" s="76"/>
      <c r="G15" s="76"/>
    </row>
    <row r="16" spans="3:8" ht="24.75" customHeight="1" x14ac:dyDescent="0.25">
      <c r="C16" s="76" t="s">
        <v>37</v>
      </c>
      <c r="D16" s="76"/>
      <c r="E16" s="76"/>
      <c r="F16" s="76"/>
      <c r="G16" s="76"/>
    </row>
    <row r="17" spans="3:7" x14ac:dyDescent="0.25">
      <c r="C17" s="76" t="s">
        <v>48</v>
      </c>
      <c r="D17" s="76"/>
      <c r="E17" s="76"/>
      <c r="F17" s="76"/>
      <c r="G17" s="76"/>
    </row>
    <row r="18" spans="3:7" ht="28.5" customHeight="1" x14ac:dyDescent="0.25">
      <c r="C18" s="76" t="s">
        <v>51</v>
      </c>
      <c r="D18" s="76"/>
      <c r="E18" s="76"/>
      <c r="F18" s="76"/>
      <c r="G18" s="76"/>
    </row>
    <row r="19" spans="3:7" x14ac:dyDescent="0.25">
      <c r="C19" s="76" t="s">
        <v>49</v>
      </c>
      <c r="D19" s="76"/>
      <c r="E19" s="76"/>
      <c r="F19" s="76"/>
      <c r="G19" s="76"/>
    </row>
    <row r="20" spans="3:7" x14ac:dyDescent="0.25">
      <c r="C20" s="76" t="s">
        <v>50</v>
      </c>
      <c r="D20" s="76"/>
      <c r="E20" s="76"/>
      <c r="F20" s="76"/>
      <c r="G20" s="76"/>
    </row>
    <row r="21" spans="3:7" ht="24.75" hidden="1" customHeight="1" x14ac:dyDescent="0.25">
      <c r="C21" s="76"/>
      <c r="D21" s="76"/>
      <c r="E21" s="76"/>
      <c r="F21" s="76"/>
      <c r="G21" s="76"/>
    </row>
    <row r="22" spans="3:7" ht="6.75" hidden="1" customHeight="1" x14ac:dyDescent="0.25"/>
    <row r="23" spans="3:7" ht="23.25" hidden="1" customHeight="1" x14ac:dyDescent="0.25"/>
    <row r="24" spans="3:7" ht="23.25" hidden="1" customHeight="1" x14ac:dyDescent="0.25"/>
  </sheetData>
  <sheetProtection password="FCFC" sheet="1" objects="1" scenarios="1"/>
  <mergeCells count="10">
    <mergeCell ref="C2:G2"/>
    <mergeCell ref="C4:D4"/>
    <mergeCell ref="F4:G4"/>
    <mergeCell ref="C20:G20"/>
    <mergeCell ref="C21:G21"/>
    <mergeCell ref="C15:G15"/>
    <mergeCell ref="C16:G16"/>
    <mergeCell ref="C17:G17"/>
    <mergeCell ref="C19:G19"/>
    <mergeCell ref="C18:G18"/>
  </mergeCells>
  <conditionalFormatting sqref="D7:E7">
    <cfRule type="expression" dxfId="3" priority="4">
      <formula>$E$7&lt;&gt;""</formula>
    </cfRule>
  </conditionalFormatting>
  <dataValidations count="5">
    <dataValidation type="list" allowBlank="1" showInputMessage="1" showErrorMessage="1" sqref="E5" xr:uid="{66179D18-1837-4F17-BBFD-F8C43A1C3B48}">
      <formula1>"Privada,Oficial"</formula1>
    </dataValidation>
    <dataValidation type="whole" allowBlank="1" showInputMessage="1" showErrorMessage="1" errorTitle="Error en el plazo" error="Plazo difiere del establecido para el producto" promptTitle="Plazo" prompt="Plazo estimado del crédito. Debe ser entre 12 y 72 meses" sqref="D7" xr:uid="{7981BD69-BC3C-4C69-8CF3-3AFF8B8A76B9}">
      <formula1>12</formula1>
      <formula2>72</formula2>
    </dataValidation>
    <dataValidation allowBlank="1" showInputMessage="1" showErrorMessage="1" errorTitle="Error en el plazo" error="Plazo supera el establecido para el producto" sqref="E7" xr:uid="{702ADCEA-4402-42F8-A97A-C71C534099AF}"/>
    <dataValidation allowBlank="1" showInputMessage="1" showErrorMessage="1" promptTitle="Valor a Financiar" prompt="Diligencie el valor a financiar en Pesos" sqref="D6" xr:uid="{E2651163-675A-45FC-BCEE-E4A8504BCB80}"/>
    <dataValidation allowBlank="1" showInputMessage="1" showErrorMessage="1" promptTitle="Tasa M.V" prompt="Incluya la tasa de colocación Mes Vencido" sqref="D9" xr:uid="{74E50F70-C977-4E22-BCC6-583FFE8B4459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F63AF1-C30A-49B4-B6A8-1F5AFC4663AC}">
          <x14:formula1>
            <xm:f>Param!$A$2:$A$3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567F-FFB8-4CFE-8C24-BCE9B4B6C917}">
  <sheetPr codeName="Hoja10"/>
  <dimension ref="A3:T138"/>
  <sheetViews>
    <sheetView showGridLines="0" workbookViewId="0">
      <selection activeCell="B3" sqref="B3"/>
    </sheetView>
  </sheetViews>
  <sheetFormatPr baseColWidth="10" defaultColWidth="0" defaultRowHeight="12" x14ac:dyDescent="0.2"/>
  <cols>
    <col min="1" max="1" width="3.5703125" style="1" bestFit="1" customWidth="1"/>
    <col min="2" max="2" width="16" style="1" customWidth="1"/>
    <col min="3" max="3" width="21.5703125" style="1" customWidth="1"/>
    <col min="4" max="4" width="16.42578125" style="1" customWidth="1"/>
    <col min="5" max="6" width="16.5703125" style="1" customWidth="1"/>
    <col min="7" max="7" width="13.5703125" style="1" bestFit="1" customWidth="1"/>
    <col min="8" max="8" width="16.28515625" style="1" customWidth="1"/>
    <col min="9" max="9" width="17.28515625" style="1" customWidth="1"/>
    <col min="10" max="10" width="13" style="1" bestFit="1" customWidth="1"/>
    <col min="11" max="11" width="17" style="1" customWidth="1"/>
    <col min="12" max="12" width="16.140625" style="1" customWidth="1"/>
    <col min="13" max="13" width="13.28515625" style="1" bestFit="1" customWidth="1"/>
    <col min="14" max="20" width="0" style="1" hidden="1" customWidth="1"/>
    <col min="21" max="16384" width="10.28515625" style="1" hidden="1"/>
  </cols>
  <sheetData>
    <row r="3" spans="2:13" ht="15.75" x14ac:dyDescent="0.2">
      <c r="B3" s="53" t="s">
        <v>45</v>
      </c>
      <c r="C3" s="53"/>
    </row>
    <row r="4" spans="2:13" ht="15" x14ac:dyDescent="0.25">
      <c r="B4" s="2" t="s">
        <v>0</v>
      </c>
      <c r="C4" s="66" t="str">
        <f>+Simulador!$D$5</f>
        <v>Particular</v>
      </c>
      <c r="D4" s="8" t="s">
        <v>16</v>
      </c>
      <c r="E4" s="9">
        <f>((1+K15)^12)-1</f>
        <v>0.15567313880092581</v>
      </c>
    </row>
    <row r="5" spans="2:13" ht="15" x14ac:dyDescent="0.25">
      <c r="B5" s="2" t="s">
        <v>11</v>
      </c>
      <c r="C5" s="3"/>
      <c r="D5" s="8" t="s">
        <v>18</v>
      </c>
      <c r="E5" s="54">
        <f>SUM(K16:K129)</f>
        <v>20672311.368383724</v>
      </c>
    </row>
    <row r="6" spans="2:13" ht="36.75" customHeight="1" x14ac:dyDescent="0.2">
      <c r="B6" s="42" t="s">
        <v>28</v>
      </c>
      <c r="C6" s="54">
        <f>+Simulador!$D$6</f>
        <v>50000000</v>
      </c>
      <c r="D6" s="8" t="s">
        <v>23</v>
      </c>
      <c r="E6" s="54">
        <f>SUM($E$17:$E$136)</f>
        <v>15827311.368383728</v>
      </c>
      <c r="H6" s="16"/>
    </row>
    <row r="7" spans="2:13" ht="15" x14ac:dyDescent="0.25">
      <c r="B7" s="4" t="s">
        <v>12</v>
      </c>
      <c r="C7" s="5">
        <f ca="1">+Simulador!$D$8</f>
        <v>44494</v>
      </c>
      <c r="D7" s="8" t="s">
        <v>3</v>
      </c>
      <c r="E7" s="54">
        <f>SUM($G$17:$G$136)</f>
        <v>4845000</v>
      </c>
    </row>
    <row r="8" spans="2:13" ht="15" x14ac:dyDescent="0.25">
      <c r="B8" s="4" t="s">
        <v>13</v>
      </c>
      <c r="C8" s="5">
        <f ca="1">EDATE(C7,1)</f>
        <v>44525</v>
      </c>
      <c r="D8" s="46" t="s">
        <v>31</v>
      </c>
      <c r="E8" s="54">
        <f>SUM($J$16:$J$136)</f>
        <v>0</v>
      </c>
    </row>
    <row r="9" spans="2:13" ht="15" x14ac:dyDescent="0.25">
      <c r="B9" s="6" t="s">
        <v>14</v>
      </c>
      <c r="C9" s="7">
        <f>+Simulador!$D$7</f>
        <v>60</v>
      </c>
      <c r="D9" s="47" t="s">
        <v>21</v>
      </c>
      <c r="E9" s="54">
        <f>+$C$6</f>
        <v>50000000</v>
      </c>
    </row>
    <row r="10" spans="2:13" ht="15" x14ac:dyDescent="0.25">
      <c r="B10" s="4" t="s">
        <v>15</v>
      </c>
      <c r="C10" s="43" t="s">
        <v>9</v>
      </c>
    </row>
    <row r="11" spans="2:13" ht="15" x14ac:dyDescent="0.25">
      <c r="B11" s="4" t="s">
        <v>17</v>
      </c>
      <c r="C11" s="10">
        <f>((1+$C$12)^12)-1</f>
        <v>0.12014921627417685</v>
      </c>
      <c r="G11" s="11"/>
      <c r="L11" s="12"/>
    </row>
    <row r="12" spans="2:13" ht="30" customHeight="1" x14ac:dyDescent="0.25">
      <c r="B12" s="4" t="s">
        <v>19</v>
      </c>
      <c r="C12" s="13">
        <f>+Simulador!D$9</f>
        <v>9.4999999999999998E-3</v>
      </c>
      <c r="D12" s="77"/>
      <c r="E12" s="77"/>
      <c r="F12" s="77"/>
      <c r="G12" s="14"/>
    </row>
    <row r="13" spans="2:13" x14ac:dyDescent="0.2">
      <c r="B13" s="17" t="s">
        <v>20</v>
      </c>
      <c r="D13" s="18"/>
      <c r="E13" s="18"/>
      <c r="G13" s="16"/>
      <c r="K13" s="19">
        <f>NOMINAL(K15,12)/12</f>
        <v>1.0052478285642596E-3</v>
      </c>
    </row>
    <row r="14" spans="2:13" s="21" customFormat="1" ht="15" x14ac:dyDescent="0.25">
      <c r="B14" s="20" t="s">
        <v>8</v>
      </c>
      <c r="C14" s="20" t="s">
        <v>21</v>
      </c>
      <c r="D14" s="20" t="s">
        <v>22</v>
      </c>
      <c r="E14" s="20" t="s">
        <v>23</v>
      </c>
      <c r="F14" s="20" t="s">
        <v>8</v>
      </c>
      <c r="G14" s="20" t="s">
        <v>3</v>
      </c>
      <c r="H14" s="20" t="s">
        <v>32</v>
      </c>
      <c r="I14" s="20" t="s">
        <v>24</v>
      </c>
      <c r="J14" s="70" t="s">
        <v>4</v>
      </c>
      <c r="K14" s="59" t="s">
        <v>25</v>
      </c>
      <c r="L14" s="70" t="s">
        <v>52</v>
      </c>
    </row>
    <row r="15" spans="2:13" s="21" customFormat="1" ht="15" x14ac:dyDescent="0.25">
      <c r="B15" s="20"/>
      <c r="C15" s="20"/>
      <c r="D15" s="20"/>
      <c r="E15" s="20"/>
      <c r="F15" s="20"/>
      <c r="G15" s="20"/>
      <c r="H15" s="20"/>
      <c r="I15" s="20"/>
      <c r="J15" s="70"/>
      <c r="K15" s="60">
        <f>IRR(K16:K136)</f>
        <v>1.2129892461824276E-2</v>
      </c>
      <c r="L15" s="70"/>
      <c r="M15" s="22"/>
    </row>
    <row r="16" spans="2:13" s="15" customFormat="1" ht="15" x14ac:dyDescent="0.25">
      <c r="B16" s="15">
        <v>0</v>
      </c>
      <c r="G16" s="23"/>
      <c r="H16" s="23"/>
      <c r="I16" s="23">
        <f>$C$6</f>
        <v>50000000</v>
      </c>
      <c r="J16" s="23">
        <f>VLOOKUP($C$4,Param!$A$1:$G$3,MATCH(Flujo!$J$14,Param!$A$1:$G$1,0),0)</f>
        <v>0</v>
      </c>
      <c r="K16" s="24">
        <f>(I16-J16)*-1</f>
        <v>-50000000</v>
      </c>
      <c r="L16" s="25">
        <f>+I16</f>
        <v>50000000</v>
      </c>
    </row>
    <row r="17" spans="2:12" s="15" customFormat="1" ht="15" x14ac:dyDescent="0.25">
      <c r="B17" s="15">
        <f t="shared" ref="B17:B48" si="0">IF(B16&gt;=$C$9,"",IF(I16=0,"",B16+1))</f>
        <v>1</v>
      </c>
      <c r="C17" s="25">
        <f t="shared" ref="C17:C48" si="1">IF(B17="","",IF(B17=$C$9,I16,cuota-D17))</f>
        <v>622122</v>
      </c>
      <c r="D17" s="26">
        <f t="shared" ref="D17:D48" si="2">(IF(I16&lt;0,0,IF(B17&lt;=$C$9,$I16*$C$12,"")))</f>
        <v>475000</v>
      </c>
      <c r="E17" s="26">
        <f>IF(B17="","",SUM(D17:D17))</f>
        <v>475000</v>
      </c>
      <c r="F17" s="44">
        <f>IF(B17=$C$9,D17+C17,IF(B17="","",cuota))</f>
        <v>1097122</v>
      </c>
      <c r="G17" s="45">
        <f>IF(B17="","",IF($C$4=Param!$A$2,VLOOKUP($C$4,Param!$A:$G,MATCH(Flujo!$G$14,Param!$A$1:$H$1,0),0)*$C$6,VLOOKUP($C$4,Param!$A:$G,MATCH(Flujo!$G$14,Param!$A$1:$H$1,0),0)*Flujo!$L17))</f>
        <v>80750</v>
      </c>
      <c r="H17" s="23">
        <f>IF($B17&lt;=$C$9,ROUND(F17+G17,0),"")</f>
        <v>1177872</v>
      </c>
      <c r="I17" s="23">
        <f>IF(B17&lt;=$C$9,(I16-C17),"")</f>
        <v>49377878</v>
      </c>
      <c r="J17" s="23"/>
      <c r="K17" s="28">
        <f t="shared" ref="K17:K48" si="3">SUM(F17:G17)</f>
        <v>1177872</v>
      </c>
      <c r="L17" s="25">
        <f t="shared" ref="L17:L22" si="4">IF(B17="","",+I16+E17)</f>
        <v>50475000</v>
      </c>
    </row>
    <row r="18" spans="2:12" s="15" customFormat="1" ht="15" x14ac:dyDescent="0.25">
      <c r="B18" s="15">
        <f t="shared" si="0"/>
        <v>2</v>
      </c>
      <c r="C18" s="25">
        <f t="shared" si="1"/>
        <v>628032.15899999999</v>
      </c>
      <c r="D18" s="26">
        <f t="shared" si="2"/>
        <v>469089.84100000001</v>
      </c>
      <c r="E18" s="26">
        <f t="shared" ref="E18:E48" si="5">IF(B18="","",SUM(D18:D18))</f>
        <v>469089.84100000001</v>
      </c>
      <c r="F18" s="44">
        <f t="shared" ref="F18:F48" si="6">IF(B18=$C$9,D18+C18,IF(B18="","",cuota))</f>
        <v>1097122</v>
      </c>
      <c r="G18" s="45">
        <f>IF(B18="","",IF($C$4=Param!$A$2,VLOOKUP($C$4,Param!$A:$G,MATCH(Flujo!$G$14,Param!$A$1:$H$1,0),0)*$C$6,VLOOKUP($C$4,Param!$A:$G,MATCH(Flujo!$G$14,Param!$A$1:$H$1,0),0)*Flujo!$L18))</f>
        <v>80750</v>
      </c>
      <c r="H18" s="23">
        <f t="shared" ref="H18:H81" si="7">IF($B18&lt;=$C$9,ROUND(F18+G18,0),"")</f>
        <v>1177872</v>
      </c>
      <c r="I18" s="23">
        <f t="shared" ref="I18:I48" si="8">IF(B18&lt;=$C$9,(I17-C18),"")</f>
        <v>48749845.840999998</v>
      </c>
      <c r="J18" s="23"/>
      <c r="K18" s="28">
        <f t="shared" si="3"/>
        <v>1177872</v>
      </c>
      <c r="L18" s="25">
        <f t="shared" si="4"/>
        <v>49846967.840999998</v>
      </c>
    </row>
    <row r="19" spans="2:12" s="15" customFormat="1" ht="15" x14ac:dyDescent="0.25">
      <c r="B19" s="15">
        <f t="shared" si="0"/>
        <v>3</v>
      </c>
      <c r="C19" s="25">
        <f t="shared" si="1"/>
        <v>633998.46451049997</v>
      </c>
      <c r="D19" s="26">
        <f t="shared" si="2"/>
        <v>463123.53548949998</v>
      </c>
      <c r="E19" s="26">
        <f t="shared" si="5"/>
        <v>463123.53548949998</v>
      </c>
      <c r="F19" s="44">
        <f t="shared" si="6"/>
        <v>1097122</v>
      </c>
      <c r="G19" s="45">
        <f>IF(B19="","",IF($C$4=Param!$A$2,VLOOKUP($C$4,Param!$A:$G,MATCH(Flujo!$G$14,Param!$A$1:$H$1,0),0)*$C$6,VLOOKUP($C$4,Param!$A:$G,MATCH(Flujo!$G$14,Param!$A$1:$H$1,0),0)*Flujo!$L19))</f>
        <v>80750</v>
      </c>
      <c r="H19" s="23">
        <f t="shared" si="7"/>
        <v>1177872</v>
      </c>
      <c r="I19" s="23">
        <f t="shared" si="8"/>
        <v>48115847.376489498</v>
      </c>
      <c r="J19" s="23"/>
      <c r="K19" s="28">
        <f t="shared" si="3"/>
        <v>1177872</v>
      </c>
      <c r="L19" s="25">
        <f t="shared" si="4"/>
        <v>49212969.376489498</v>
      </c>
    </row>
    <row r="20" spans="2:12" s="15" customFormat="1" ht="15" x14ac:dyDescent="0.25">
      <c r="B20" s="15">
        <f t="shared" si="0"/>
        <v>4</v>
      </c>
      <c r="C20" s="25">
        <f t="shared" si="1"/>
        <v>640021.44992334978</v>
      </c>
      <c r="D20" s="26">
        <f t="shared" si="2"/>
        <v>457100.55007665022</v>
      </c>
      <c r="E20" s="26">
        <f t="shared" si="5"/>
        <v>457100.55007665022</v>
      </c>
      <c r="F20" s="44">
        <f t="shared" si="6"/>
        <v>1097122</v>
      </c>
      <c r="G20" s="45">
        <f>IF(B20="","",IF($C$4=Param!$A$2,VLOOKUP($C$4,Param!$A:$G,MATCH(Flujo!$G$14,Param!$A$1:$H$1,0),0)*$C$6,VLOOKUP($C$4,Param!$A:$G,MATCH(Flujo!$G$14,Param!$A$1:$H$1,0),0)*Flujo!$L20))</f>
        <v>80750</v>
      </c>
      <c r="H20" s="23">
        <f t="shared" si="7"/>
        <v>1177872</v>
      </c>
      <c r="I20" s="23">
        <f t="shared" si="8"/>
        <v>47475825.926566146</v>
      </c>
      <c r="J20" s="23"/>
      <c r="K20" s="28">
        <f t="shared" si="3"/>
        <v>1177872</v>
      </c>
      <c r="L20" s="25">
        <f t="shared" si="4"/>
        <v>48572947.926566146</v>
      </c>
    </row>
    <row r="21" spans="2:12" s="15" customFormat="1" ht="15" x14ac:dyDescent="0.25">
      <c r="B21" s="15">
        <f t="shared" si="0"/>
        <v>5</v>
      </c>
      <c r="C21" s="25">
        <f t="shared" si="1"/>
        <v>646101.65369762154</v>
      </c>
      <c r="D21" s="26">
        <f t="shared" si="2"/>
        <v>451020.3463023784</v>
      </c>
      <c r="E21" s="26">
        <f t="shared" si="5"/>
        <v>451020.3463023784</v>
      </c>
      <c r="F21" s="44">
        <f t="shared" si="6"/>
        <v>1097122</v>
      </c>
      <c r="G21" s="45">
        <f>IF(B21="","",IF($C$4=Param!$A$2,VLOOKUP($C$4,Param!$A:$G,MATCH(Flujo!$G$14,Param!$A$1:$H$1,0),0)*$C$6,VLOOKUP($C$4,Param!$A:$G,MATCH(Flujo!$G$14,Param!$A$1:$H$1,0),0)*Flujo!$L21))</f>
        <v>80750</v>
      </c>
      <c r="H21" s="23">
        <f t="shared" si="7"/>
        <v>1177872</v>
      </c>
      <c r="I21" s="23">
        <f t="shared" si="8"/>
        <v>46829724.272868522</v>
      </c>
      <c r="J21" s="23"/>
      <c r="K21" s="28">
        <f t="shared" si="3"/>
        <v>1177872</v>
      </c>
      <c r="L21" s="25">
        <f t="shared" si="4"/>
        <v>47926846.272868522</v>
      </c>
    </row>
    <row r="22" spans="2:12" s="15" customFormat="1" ht="15" x14ac:dyDescent="0.25">
      <c r="B22" s="15">
        <f t="shared" si="0"/>
        <v>6</v>
      </c>
      <c r="C22" s="25">
        <f t="shared" si="1"/>
        <v>652239.61940774904</v>
      </c>
      <c r="D22" s="26">
        <f t="shared" si="2"/>
        <v>444882.38059225096</v>
      </c>
      <c r="E22" s="26">
        <f t="shared" si="5"/>
        <v>444882.38059225096</v>
      </c>
      <c r="F22" s="44">
        <f t="shared" si="6"/>
        <v>1097122</v>
      </c>
      <c r="G22" s="45">
        <f>IF(B22="","",IF($C$4=Param!$A$2,VLOOKUP($C$4,Param!$A:$G,MATCH(Flujo!$G$14,Param!$A$1:$H$1,0),0)*$C$6,VLOOKUP($C$4,Param!$A:$G,MATCH(Flujo!$G$14,Param!$A$1:$H$1,0),0)*Flujo!$L22))</f>
        <v>80750</v>
      </c>
      <c r="H22" s="23">
        <f t="shared" si="7"/>
        <v>1177872</v>
      </c>
      <c r="I22" s="23">
        <f t="shared" si="8"/>
        <v>46177484.653460771</v>
      </c>
      <c r="J22" s="23"/>
      <c r="K22" s="28">
        <f t="shared" si="3"/>
        <v>1177872</v>
      </c>
      <c r="L22" s="25">
        <f t="shared" si="4"/>
        <v>47274606.653460771</v>
      </c>
    </row>
    <row r="23" spans="2:12" s="15" customFormat="1" ht="15" x14ac:dyDescent="0.25">
      <c r="B23" s="15">
        <f t="shared" si="0"/>
        <v>7</v>
      </c>
      <c r="C23" s="25">
        <f t="shared" si="1"/>
        <v>658435.8957921227</v>
      </c>
      <c r="D23" s="26">
        <f t="shared" si="2"/>
        <v>438686.1042078773</v>
      </c>
      <c r="E23" s="26">
        <f t="shared" si="5"/>
        <v>438686.1042078773</v>
      </c>
      <c r="F23" s="44">
        <f t="shared" si="6"/>
        <v>1097122</v>
      </c>
      <c r="G23" s="45">
        <f>IF(B23="","",IF($C$4=Param!$A$2,VLOOKUP($C$4,Param!$A:$G,MATCH(Flujo!$G$14,Param!$A$1:$H$1,0),0)*$C$6,VLOOKUP($C$4,Param!$A:$G,MATCH(Flujo!$G$14,Param!$A$1:$H$1,0),0)*Flujo!$L23))</f>
        <v>80750</v>
      </c>
      <c r="H23" s="23">
        <f t="shared" si="7"/>
        <v>1177872</v>
      </c>
      <c r="I23" s="23">
        <f t="shared" si="8"/>
        <v>45519048.757668652</v>
      </c>
      <c r="J23" s="23"/>
      <c r="K23" s="28">
        <f t="shared" si="3"/>
        <v>1177872</v>
      </c>
      <c r="L23" s="25">
        <f t="shared" ref="L23:L81" si="9">IF(B23="","",+I22+E23)</f>
        <v>46616170.757668652</v>
      </c>
    </row>
    <row r="24" spans="2:12" s="15" customFormat="1" ht="15" x14ac:dyDescent="0.25">
      <c r="B24" s="15">
        <f t="shared" si="0"/>
        <v>8</v>
      </c>
      <c r="C24" s="25">
        <f t="shared" si="1"/>
        <v>664691.03680214775</v>
      </c>
      <c r="D24" s="26">
        <f t="shared" si="2"/>
        <v>432430.96319785219</v>
      </c>
      <c r="E24" s="26">
        <f t="shared" si="5"/>
        <v>432430.96319785219</v>
      </c>
      <c r="F24" s="44">
        <f t="shared" si="6"/>
        <v>1097122</v>
      </c>
      <c r="G24" s="45">
        <f>IF(B24="","",IF($C$4=Param!$A$2,VLOOKUP($C$4,Param!$A:$G,MATCH(Flujo!$G$14,Param!$A$1:$H$1,0),0)*$C$6,VLOOKUP($C$4,Param!$A:$G,MATCH(Flujo!$G$14,Param!$A$1:$H$1,0),0)*Flujo!$L24))</f>
        <v>80750</v>
      </c>
      <c r="H24" s="23">
        <f t="shared" si="7"/>
        <v>1177872</v>
      </c>
      <c r="I24" s="23">
        <f t="shared" si="8"/>
        <v>44854357.720866501</v>
      </c>
      <c r="J24" s="23"/>
      <c r="K24" s="28">
        <f t="shared" si="3"/>
        <v>1177872</v>
      </c>
      <c r="L24" s="25">
        <f t="shared" si="9"/>
        <v>45951479.720866501</v>
      </c>
    </row>
    <row r="25" spans="2:12" s="15" customFormat="1" ht="15" x14ac:dyDescent="0.25">
      <c r="B25" s="15">
        <f t="shared" si="0"/>
        <v>9</v>
      </c>
      <c r="C25" s="25">
        <f t="shared" si="1"/>
        <v>671005.6016517682</v>
      </c>
      <c r="D25" s="26">
        <f t="shared" si="2"/>
        <v>426116.39834823174</v>
      </c>
      <c r="E25" s="26">
        <f t="shared" si="5"/>
        <v>426116.39834823174</v>
      </c>
      <c r="F25" s="44">
        <f t="shared" si="6"/>
        <v>1097122</v>
      </c>
      <c r="G25" s="45">
        <f>IF(B25="","",IF($C$4=Param!$A$2,VLOOKUP($C$4,Param!$A:$G,MATCH(Flujo!$G$14,Param!$A$1:$H$1,0),0)*$C$6,VLOOKUP($C$4,Param!$A:$G,MATCH(Flujo!$G$14,Param!$A$1:$H$1,0),0)*Flujo!$L25))</f>
        <v>80750</v>
      </c>
      <c r="H25" s="23">
        <f t="shared" si="7"/>
        <v>1177872</v>
      </c>
      <c r="I25" s="23">
        <f t="shared" si="8"/>
        <v>44183352.119214736</v>
      </c>
      <c r="J25" s="23"/>
      <c r="K25" s="28">
        <f t="shared" si="3"/>
        <v>1177872</v>
      </c>
      <c r="L25" s="25">
        <f>IF(B25="","",+I24+E25)</f>
        <v>45280474.119214736</v>
      </c>
    </row>
    <row r="26" spans="2:12" s="15" customFormat="1" ht="15" x14ac:dyDescent="0.25">
      <c r="B26" s="15">
        <f t="shared" si="0"/>
        <v>10</v>
      </c>
      <c r="C26" s="25">
        <f t="shared" si="1"/>
        <v>677380.15486746002</v>
      </c>
      <c r="D26" s="26">
        <f t="shared" si="2"/>
        <v>419741.84513253998</v>
      </c>
      <c r="E26" s="26">
        <f t="shared" si="5"/>
        <v>419741.84513253998</v>
      </c>
      <c r="F26" s="44">
        <f t="shared" si="6"/>
        <v>1097122</v>
      </c>
      <c r="G26" s="45">
        <f>IF(B26="","",IF($C$4=Param!$A$2,VLOOKUP($C$4,Param!$A:$G,MATCH(Flujo!$G$14,Param!$A$1:$H$1,0),0)*$C$6,VLOOKUP($C$4,Param!$A:$G,MATCH(Flujo!$G$14,Param!$A$1:$H$1,0),0)*Flujo!$L26))</f>
        <v>80750</v>
      </c>
      <c r="H26" s="23">
        <f t="shared" si="7"/>
        <v>1177872</v>
      </c>
      <c r="I26" s="23">
        <f t="shared" si="8"/>
        <v>43505971.964347273</v>
      </c>
      <c r="J26" s="23"/>
      <c r="K26" s="28">
        <f t="shared" si="3"/>
        <v>1177872</v>
      </c>
      <c r="L26" s="25">
        <f t="shared" si="9"/>
        <v>44603093.964347273</v>
      </c>
    </row>
    <row r="27" spans="2:12" s="15" customFormat="1" ht="15" x14ac:dyDescent="0.25">
      <c r="B27" s="15">
        <f t="shared" si="0"/>
        <v>11</v>
      </c>
      <c r="C27" s="25">
        <f t="shared" si="1"/>
        <v>683815.26633870089</v>
      </c>
      <c r="D27" s="26">
        <f t="shared" si="2"/>
        <v>413306.73366129911</v>
      </c>
      <c r="E27" s="26">
        <f t="shared" si="5"/>
        <v>413306.73366129911</v>
      </c>
      <c r="F27" s="44">
        <f t="shared" si="6"/>
        <v>1097122</v>
      </c>
      <c r="G27" s="45">
        <f>IF(B27="","",IF($C$4=Param!$A$2,VLOOKUP($C$4,Param!$A:$G,MATCH(Flujo!$G$14,Param!$A$1:$H$1,0),0)*$C$6,VLOOKUP($C$4,Param!$A:$G,MATCH(Flujo!$G$14,Param!$A$1:$H$1,0),0)*Flujo!$L27))</f>
        <v>80750</v>
      </c>
      <c r="H27" s="23">
        <f t="shared" si="7"/>
        <v>1177872</v>
      </c>
      <c r="I27" s="23">
        <f t="shared" si="8"/>
        <v>42822156.698008575</v>
      </c>
      <c r="J27" s="23"/>
      <c r="K27" s="28">
        <f t="shared" si="3"/>
        <v>1177872</v>
      </c>
      <c r="L27" s="25">
        <f t="shared" si="9"/>
        <v>43919278.698008575</v>
      </c>
    </row>
    <row r="28" spans="2:12" s="15" customFormat="1" ht="15" x14ac:dyDescent="0.25">
      <c r="B28" s="15">
        <f t="shared" si="0"/>
        <v>12</v>
      </c>
      <c r="C28" s="25">
        <f t="shared" si="1"/>
        <v>690311.51136891847</v>
      </c>
      <c r="D28" s="26">
        <f t="shared" si="2"/>
        <v>406810.48863108148</v>
      </c>
      <c r="E28" s="26">
        <f t="shared" si="5"/>
        <v>406810.48863108148</v>
      </c>
      <c r="F28" s="44">
        <f t="shared" si="6"/>
        <v>1097122</v>
      </c>
      <c r="G28" s="45">
        <f>IF(B28="","",IF($C$4=Param!$A$2,VLOOKUP($C$4,Param!$A:$G,MATCH(Flujo!$G$14,Param!$A$1:$H$1,0),0)*$C$6,VLOOKUP($C$4,Param!$A:$G,MATCH(Flujo!$G$14,Param!$A$1:$H$1,0),0)*Flujo!$L28))</f>
        <v>80750</v>
      </c>
      <c r="H28" s="23">
        <f t="shared" si="7"/>
        <v>1177872</v>
      </c>
      <c r="I28" s="23">
        <f t="shared" si="8"/>
        <v>42131845.186639659</v>
      </c>
      <c r="J28" s="23"/>
      <c r="K28" s="28">
        <f t="shared" si="3"/>
        <v>1177872</v>
      </c>
      <c r="L28" s="25">
        <f t="shared" si="9"/>
        <v>43228967.186639659</v>
      </c>
    </row>
    <row r="29" spans="2:12" s="15" customFormat="1" ht="15" x14ac:dyDescent="0.25">
      <c r="B29" s="15">
        <f t="shared" si="0"/>
        <v>13</v>
      </c>
      <c r="C29" s="25">
        <f t="shared" si="1"/>
        <v>696869.47072692332</v>
      </c>
      <c r="D29" s="26">
        <f t="shared" si="2"/>
        <v>400252.52927307674</v>
      </c>
      <c r="E29" s="26">
        <f t="shared" si="5"/>
        <v>400252.52927307674</v>
      </c>
      <c r="F29" s="44">
        <f t="shared" si="6"/>
        <v>1097122</v>
      </c>
      <c r="G29" s="45">
        <f>IF(B29="","",IF($C$4=Param!$A$2,VLOOKUP($C$4,Param!$A:$G,MATCH(Flujo!$G$14,Param!$A$1:$H$1,0),0)*$C$6,VLOOKUP($C$4,Param!$A:$G,MATCH(Flujo!$G$14,Param!$A$1:$H$1,0),0)*Flujo!$L29))</f>
        <v>80750</v>
      </c>
      <c r="H29" s="23">
        <f t="shared" si="7"/>
        <v>1177872</v>
      </c>
      <c r="I29" s="23">
        <f t="shared" si="8"/>
        <v>41434975.715912737</v>
      </c>
      <c r="J29" s="23"/>
      <c r="K29" s="28">
        <f t="shared" si="3"/>
        <v>1177872</v>
      </c>
      <c r="L29" s="25">
        <f t="shared" si="9"/>
        <v>42532097.715912737</v>
      </c>
    </row>
    <row r="30" spans="2:12" s="15" customFormat="1" ht="15" x14ac:dyDescent="0.25">
      <c r="B30" s="15">
        <f t="shared" si="0"/>
        <v>14</v>
      </c>
      <c r="C30" s="25">
        <f t="shared" si="1"/>
        <v>703489.73069882905</v>
      </c>
      <c r="D30" s="26">
        <f t="shared" si="2"/>
        <v>393632.26930117101</v>
      </c>
      <c r="E30" s="26">
        <f t="shared" si="5"/>
        <v>393632.26930117101</v>
      </c>
      <c r="F30" s="44">
        <f t="shared" si="6"/>
        <v>1097122</v>
      </c>
      <c r="G30" s="45">
        <f>IF(B30="","",IF($C$4=Param!$A$2,VLOOKUP($C$4,Param!$A:$G,MATCH(Flujo!$G$14,Param!$A$1:$H$1,0),0)*$C$6,VLOOKUP($C$4,Param!$A:$G,MATCH(Flujo!$G$14,Param!$A$1:$H$1,0),0)*Flujo!$L30))</f>
        <v>80750</v>
      </c>
      <c r="H30" s="23">
        <f t="shared" si="7"/>
        <v>1177872</v>
      </c>
      <c r="I30" s="23">
        <f t="shared" si="8"/>
        <v>40731485.985213906</v>
      </c>
      <c r="J30" s="23"/>
      <c r="K30" s="28">
        <f t="shared" si="3"/>
        <v>1177872</v>
      </c>
      <c r="L30" s="25">
        <f t="shared" si="9"/>
        <v>41828607.985213906</v>
      </c>
    </row>
    <row r="31" spans="2:12" s="15" customFormat="1" ht="15" x14ac:dyDescent="0.25">
      <c r="B31" s="15">
        <f t="shared" si="0"/>
        <v>15</v>
      </c>
      <c r="C31" s="25">
        <f t="shared" si="1"/>
        <v>710172.88314046792</v>
      </c>
      <c r="D31" s="26">
        <f t="shared" si="2"/>
        <v>386949.11685953208</v>
      </c>
      <c r="E31" s="26">
        <f t="shared" si="5"/>
        <v>386949.11685953208</v>
      </c>
      <c r="F31" s="44">
        <f t="shared" si="6"/>
        <v>1097122</v>
      </c>
      <c r="G31" s="45">
        <f>IF(B31="","",IF($C$4=Param!$A$2,VLOOKUP($C$4,Param!$A:$G,MATCH(Flujo!$G$14,Param!$A$1:$H$1,0),0)*$C$6,VLOOKUP($C$4,Param!$A:$G,MATCH(Flujo!$G$14,Param!$A$1:$H$1,0),0)*Flujo!$L31))</f>
        <v>80750</v>
      </c>
      <c r="H31" s="23">
        <f t="shared" si="7"/>
        <v>1177872</v>
      </c>
      <c r="I31" s="23">
        <f t="shared" si="8"/>
        <v>40021313.102073438</v>
      </c>
      <c r="J31" s="23"/>
      <c r="K31" s="28">
        <f t="shared" si="3"/>
        <v>1177872</v>
      </c>
      <c r="L31" s="25">
        <f t="shared" si="9"/>
        <v>41118435.102073438</v>
      </c>
    </row>
    <row r="32" spans="2:12" s="15" customFormat="1" ht="15" x14ac:dyDescent="0.25">
      <c r="B32" s="15">
        <f t="shared" si="0"/>
        <v>16</v>
      </c>
      <c r="C32" s="25">
        <f t="shared" si="1"/>
        <v>716919.52553030232</v>
      </c>
      <c r="D32" s="26">
        <f t="shared" si="2"/>
        <v>380202.47446969768</v>
      </c>
      <c r="E32" s="26">
        <f t="shared" si="5"/>
        <v>380202.47446969768</v>
      </c>
      <c r="F32" s="44">
        <f t="shared" si="6"/>
        <v>1097122</v>
      </c>
      <c r="G32" s="45">
        <f>IF(B32="","",IF($C$4=Param!$A$2,VLOOKUP($C$4,Param!$A:$G,MATCH(Flujo!$G$14,Param!$A$1:$H$1,0),0)*$C$6,VLOOKUP($C$4,Param!$A:$G,MATCH(Flujo!$G$14,Param!$A$1:$H$1,0),0)*Flujo!$L32))</f>
        <v>80750</v>
      </c>
      <c r="H32" s="23">
        <f t="shared" si="7"/>
        <v>1177872</v>
      </c>
      <c r="I32" s="23">
        <f t="shared" si="8"/>
        <v>39304393.576543137</v>
      </c>
      <c r="J32" s="23"/>
      <c r="K32" s="28">
        <f t="shared" si="3"/>
        <v>1177872</v>
      </c>
      <c r="L32" s="25">
        <f t="shared" si="9"/>
        <v>40401515.576543137</v>
      </c>
    </row>
    <row r="33" spans="2:12" s="15" customFormat="1" ht="15" x14ac:dyDescent="0.25">
      <c r="B33" s="15">
        <f t="shared" si="0"/>
        <v>17</v>
      </c>
      <c r="C33" s="25">
        <f t="shared" si="1"/>
        <v>723730.26102284016</v>
      </c>
      <c r="D33" s="26">
        <f t="shared" si="2"/>
        <v>373391.73897715978</v>
      </c>
      <c r="E33" s="26">
        <f t="shared" si="5"/>
        <v>373391.73897715978</v>
      </c>
      <c r="F33" s="44">
        <f t="shared" si="6"/>
        <v>1097122</v>
      </c>
      <c r="G33" s="45">
        <f>IF(B33="","",IF($C$4=Param!$A$2,VLOOKUP($C$4,Param!$A:$G,MATCH(Flujo!$G$14,Param!$A$1:$H$1,0),0)*$C$6,VLOOKUP($C$4,Param!$A:$G,MATCH(Flujo!$G$14,Param!$A$1:$H$1,0),0)*Flujo!$L33))</f>
        <v>80750</v>
      </c>
      <c r="H33" s="23">
        <f t="shared" si="7"/>
        <v>1177872</v>
      </c>
      <c r="I33" s="23">
        <f t="shared" si="8"/>
        <v>38580663.315520294</v>
      </c>
      <c r="J33" s="23"/>
      <c r="K33" s="28">
        <f t="shared" si="3"/>
        <v>1177872</v>
      </c>
      <c r="L33" s="25">
        <f t="shared" si="9"/>
        <v>39677785.315520294</v>
      </c>
    </row>
    <row r="34" spans="2:12" s="15" customFormat="1" ht="15" x14ac:dyDescent="0.25">
      <c r="B34" s="15">
        <f t="shared" si="0"/>
        <v>18</v>
      </c>
      <c r="C34" s="25">
        <f t="shared" si="1"/>
        <v>730605.69850255724</v>
      </c>
      <c r="D34" s="26">
        <f t="shared" si="2"/>
        <v>366516.30149744276</v>
      </c>
      <c r="E34" s="26">
        <f t="shared" si="5"/>
        <v>366516.30149744276</v>
      </c>
      <c r="F34" s="44">
        <f t="shared" si="6"/>
        <v>1097122</v>
      </c>
      <c r="G34" s="45">
        <f>IF(B34="","",IF($C$4=Param!$A$2,VLOOKUP($C$4,Param!$A:$G,MATCH(Flujo!$G$14,Param!$A$1:$H$1,0),0)*$C$6,VLOOKUP($C$4,Param!$A:$G,MATCH(Flujo!$G$14,Param!$A$1:$H$1,0),0)*Flujo!$L34))</f>
        <v>80750</v>
      </c>
      <c r="H34" s="23">
        <f t="shared" si="7"/>
        <v>1177872</v>
      </c>
      <c r="I34" s="23">
        <f t="shared" si="8"/>
        <v>37850057.617017739</v>
      </c>
      <c r="J34" s="23"/>
      <c r="K34" s="28">
        <f t="shared" si="3"/>
        <v>1177872</v>
      </c>
      <c r="L34" s="25">
        <f t="shared" si="9"/>
        <v>38947179.617017739</v>
      </c>
    </row>
    <row r="35" spans="2:12" s="15" customFormat="1" ht="15" x14ac:dyDescent="0.25">
      <c r="B35" s="15">
        <f t="shared" si="0"/>
        <v>19</v>
      </c>
      <c r="C35" s="25">
        <f t="shared" si="1"/>
        <v>737546.45263833157</v>
      </c>
      <c r="D35" s="26">
        <f t="shared" si="2"/>
        <v>359575.54736166849</v>
      </c>
      <c r="E35" s="26">
        <f t="shared" si="5"/>
        <v>359575.54736166849</v>
      </c>
      <c r="F35" s="44">
        <f t="shared" si="6"/>
        <v>1097122</v>
      </c>
      <c r="G35" s="45">
        <f>IF(B35="","",IF($C$4=Param!$A$2,VLOOKUP($C$4,Param!$A:$G,MATCH(Flujo!$G$14,Param!$A$1:$H$1,0),0)*$C$6,VLOOKUP($C$4,Param!$A:$G,MATCH(Flujo!$G$14,Param!$A$1:$H$1,0),0)*Flujo!$L35))</f>
        <v>80750</v>
      </c>
      <c r="H35" s="23">
        <f t="shared" si="7"/>
        <v>1177872</v>
      </c>
      <c r="I35" s="23">
        <f t="shared" si="8"/>
        <v>37112511.16437941</v>
      </c>
      <c r="J35" s="23"/>
      <c r="K35" s="28">
        <f t="shared" si="3"/>
        <v>1177872</v>
      </c>
      <c r="L35" s="25">
        <f t="shared" si="9"/>
        <v>38209633.16437941</v>
      </c>
    </row>
    <row r="36" spans="2:12" s="15" customFormat="1" ht="15" x14ac:dyDescent="0.25">
      <c r="B36" s="15">
        <f t="shared" si="0"/>
        <v>20</v>
      </c>
      <c r="C36" s="25">
        <f t="shared" si="1"/>
        <v>744553.14393839566</v>
      </c>
      <c r="D36" s="26">
        <f t="shared" si="2"/>
        <v>352568.8560616044</v>
      </c>
      <c r="E36" s="26">
        <f t="shared" si="5"/>
        <v>352568.8560616044</v>
      </c>
      <c r="F36" s="44">
        <f t="shared" si="6"/>
        <v>1097122</v>
      </c>
      <c r="G36" s="45">
        <f>IF(B36="","",IF($C$4=Param!$A$2,VLOOKUP($C$4,Param!$A:$G,MATCH(Flujo!$G$14,Param!$A$1:$H$1,0),0)*$C$6,VLOOKUP($C$4,Param!$A:$G,MATCH(Flujo!$G$14,Param!$A$1:$H$1,0),0)*Flujo!$L36))</f>
        <v>80750</v>
      </c>
      <c r="H36" s="23">
        <f t="shared" si="7"/>
        <v>1177872</v>
      </c>
      <c r="I36" s="23">
        <f t="shared" si="8"/>
        <v>36367958.020441018</v>
      </c>
      <c r="J36" s="23"/>
      <c r="K36" s="28">
        <f t="shared" si="3"/>
        <v>1177872</v>
      </c>
      <c r="L36" s="25">
        <f t="shared" si="9"/>
        <v>37465080.020441018</v>
      </c>
    </row>
    <row r="37" spans="2:12" s="15" customFormat="1" ht="15" x14ac:dyDescent="0.25">
      <c r="B37" s="15">
        <f t="shared" si="0"/>
        <v>21</v>
      </c>
      <c r="C37" s="25">
        <f t="shared" si="1"/>
        <v>751626.39880581037</v>
      </c>
      <c r="D37" s="26">
        <f t="shared" si="2"/>
        <v>345495.60119418969</v>
      </c>
      <c r="E37" s="26">
        <f t="shared" si="5"/>
        <v>345495.60119418969</v>
      </c>
      <c r="F37" s="44">
        <f t="shared" si="6"/>
        <v>1097122</v>
      </c>
      <c r="G37" s="45">
        <f>IF(B37="","",IF($C$4=Param!$A$2,VLOOKUP($C$4,Param!$A:$G,MATCH(Flujo!$G$14,Param!$A$1:$H$1,0),0)*$C$6,VLOOKUP($C$4,Param!$A:$G,MATCH(Flujo!$G$14,Param!$A$1:$H$1,0),0)*Flujo!$L37))</f>
        <v>80750</v>
      </c>
      <c r="H37" s="23">
        <f t="shared" si="7"/>
        <v>1177872</v>
      </c>
      <c r="I37" s="23">
        <f t="shared" si="8"/>
        <v>35616331.621635206</v>
      </c>
      <c r="J37" s="23"/>
      <c r="K37" s="28">
        <f t="shared" si="3"/>
        <v>1177872</v>
      </c>
      <c r="L37" s="25">
        <f t="shared" si="9"/>
        <v>36713453.621635206</v>
      </c>
    </row>
    <row r="38" spans="2:12" s="15" customFormat="1" ht="15" x14ac:dyDescent="0.25">
      <c r="B38" s="15">
        <f t="shared" si="0"/>
        <v>22</v>
      </c>
      <c r="C38" s="25">
        <f t="shared" si="1"/>
        <v>758766.84959446557</v>
      </c>
      <c r="D38" s="26">
        <f t="shared" si="2"/>
        <v>338355.15040553443</v>
      </c>
      <c r="E38" s="26">
        <f t="shared" si="5"/>
        <v>338355.15040553443</v>
      </c>
      <c r="F38" s="44">
        <f t="shared" si="6"/>
        <v>1097122</v>
      </c>
      <c r="G38" s="45">
        <f>IF(B38="","",IF($C$4=Param!$A$2,VLOOKUP($C$4,Param!$A:$G,MATCH(Flujo!$G$14,Param!$A$1:$H$1,0),0)*$C$6,VLOOKUP($C$4,Param!$A:$G,MATCH(Flujo!$G$14,Param!$A$1:$H$1,0),0)*Flujo!$L38))</f>
        <v>80750</v>
      </c>
      <c r="H38" s="23">
        <f t="shared" si="7"/>
        <v>1177872</v>
      </c>
      <c r="I38" s="23">
        <f t="shared" si="8"/>
        <v>34857564.77204074</v>
      </c>
      <c r="J38" s="23"/>
      <c r="K38" s="28">
        <f t="shared" si="3"/>
        <v>1177872</v>
      </c>
      <c r="L38" s="25">
        <f t="shared" si="9"/>
        <v>35954686.77204074</v>
      </c>
    </row>
    <row r="39" spans="2:12" s="15" customFormat="1" ht="15" x14ac:dyDescent="0.25">
      <c r="B39" s="15">
        <f t="shared" si="0"/>
        <v>23</v>
      </c>
      <c r="C39" s="25">
        <f t="shared" si="1"/>
        <v>765975.13466561306</v>
      </c>
      <c r="D39" s="26">
        <f t="shared" si="2"/>
        <v>331146.865334387</v>
      </c>
      <c r="E39" s="26">
        <f t="shared" si="5"/>
        <v>331146.865334387</v>
      </c>
      <c r="F39" s="44">
        <f t="shared" si="6"/>
        <v>1097122</v>
      </c>
      <c r="G39" s="45">
        <f>IF(B39="","",IF($C$4=Param!$A$2,VLOOKUP($C$4,Param!$A:$G,MATCH(Flujo!$G$14,Param!$A$1:$H$1,0),0)*$C$6,VLOOKUP($C$4,Param!$A:$G,MATCH(Flujo!$G$14,Param!$A$1:$H$1,0),0)*Flujo!$L39))</f>
        <v>80750</v>
      </c>
      <c r="H39" s="23">
        <f t="shared" si="7"/>
        <v>1177872</v>
      </c>
      <c r="I39" s="23">
        <f t="shared" si="8"/>
        <v>34091589.637375124</v>
      </c>
      <c r="J39" s="23"/>
      <c r="K39" s="28">
        <f t="shared" si="3"/>
        <v>1177872</v>
      </c>
      <c r="L39" s="25">
        <f t="shared" si="9"/>
        <v>35188711.637375124</v>
      </c>
    </row>
    <row r="40" spans="2:12" s="15" customFormat="1" ht="15" x14ac:dyDescent="0.25">
      <c r="B40" s="15">
        <f t="shared" si="0"/>
        <v>24</v>
      </c>
      <c r="C40" s="25">
        <f t="shared" si="1"/>
        <v>773251.89844493638</v>
      </c>
      <c r="D40" s="26">
        <f t="shared" si="2"/>
        <v>323870.10155506368</v>
      </c>
      <c r="E40" s="26">
        <f t="shared" si="5"/>
        <v>323870.10155506368</v>
      </c>
      <c r="F40" s="44">
        <f t="shared" si="6"/>
        <v>1097122</v>
      </c>
      <c r="G40" s="45">
        <f>IF(B40="","",IF($C$4=Param!$A$2,VLOOKUP($C$4,Param!$A:$G,MATCH(Flujo!$G$14,Param!$A$1:$H$1,0),0)*$C$6,VLOOKUP($C$4,Param!$A:$G,MATCH(Flujo!$G$14,Param!$A$1:$H$1,0),0)*Flujo!$L40))</f>
        <v>80750</v>
      </c>
      <c r="H40" s="23">
        <f t="shared" si="7"/>
        <v>1177872</v>
      </c>
      <c r="I40" s="23">
        <f t="shared" si="8"/>
        <v>33318337.738930188</v>
      </c>
      <c r="J40" s="23"/>
      <c r="K40" s="28">
        <f t="shared" si="3"/>
        <v>1177872</v>
      </c>
      <c r="L40" s="25">
        <f t="shared" si="9"/>
        <v>34415459.738930188</v>
      </c>
    </row>
    <row r="41" spans="2:12" s="15" customFormat="1" ht="15" x14ac:dyDescent="0.25">
      <c r="B41" s="15">
        <f t="shared" si="0"/>
        <v>25</v>
      </c>
      <c r="C41" s="25">
        <f t="shared" si="1"/>
        <v>780597.79148016323</v>
      </c>
      <c r="D41" s="26">
        <f t="shared" si="2"/>
        <v>316524.20851983677</v>
      </c>
      <c r="E41" s="26">
        <f t="shared" si="5"/>
        <v>316524.20851983677</v>
      </c>
      <c r="F41" s="44">
        <f t="shared" si="6"/>
        <v>1097122</v>
      </c>
      <c r="G41" s="45">
        <f>IF(B41="","",IF($C$4=Param!$A$2,VLOOKUP($C$4,Param!$A:$G,MATCH(Flujo!$G$14,Param!$A$1:$H$1,0),0)*$C$6,VLOOKUP($C$4,Param!$A:$G,MATCH(Flujo!$G$14,Param!$A$1:$H$1,0),0)*Flujo!$L41))</f>
        <v>80750</v>
      </c>
      <c r="H41" s="23">
        <f t="shared" si="7"/>
        <v>1177872</v>
      </c>
      <c r="I41" s="23">
        <f t="shared" si="8"/>
        <v>32537739.947450023</v>
      </c>
      <c r="J41" s="23"/>
      <c r="K41" s="28">
        <f t="shared" si="3"/>
        <v>1177872</v>
      </c>
      <c r="L41" s="25">
        <f t="shared" si="9"/>
        <v>33634861.947450027</v>
      </c>
    </row>
    <row r="42" spans="2:12" s="15" customFormat="1" ht="15" x14ac:dyDescent="0.25">
      <c r="B42" s="15">
        <f t="shared" si="0"/>
        <v>26</v>
      </c>
      <c r="C42" s="25">
        <f t="shared" si="1"/>
        <v>788013.47049922473</v>
      </c>
      <c r="D42" s="26">
        <f t="shared" si="2"/>
        <v>309108.52950077521</v>
      </c>
      <c r="E42" s="26">
        <f t="shared" si="5"/>
        <v>309108.52950077521</v>
      </c>
      <c r="F42" s="44">
        <f t="shared" si="6"/>
        <v>1097122</v>
      </c>
      <c r="G42" s="45">
        <f>IF(B42="","",IF($C$4=Param!$A$2,VLOOKUP($C$4,Param!$A:$G,MATCH(Flujo!$G$14,Param!$A$1:$H$1,0),0)*$C$6,VLOOKUP($C$4,Param!$A:$G,MATCH(Flujo!$G$14,Param!$A$1:$H$1,0),0)*Flujo!$L42))</f>
        <v>80750</v>
      </c>
      <c r="H42" s="23">
        <f t="shared" si="7"/>
        <v>1177872</v>
      </c>
      <c r="I42" s="23">
        <f t="shared" si="8"/>
        <v>31749726.476950798</v>
      </c>
      <c r="J42" s="23"/>
      <c r="K42" s="28">
        <f t="shared" si="3"/>
        <v>1177872</v>
      </c>
      <c r="L42" s="25">
        <f t="shared" si="9"/>
        <v>32846848.476950798</v>
      </c>
    </row>
    <row r="43" spans="2:12" s="15" customFormat="1" ht="15" x14ac:dyDescent="0.25">
      <c r="B43" s="15">
        <f t="shared" si="0"/>
        <v>27</v>
      </c>
      <c r="C43" s="25">
        <f t="shared" si="1"/>
        <v>795499.59846896748</v>
      </c>
      <c r="D43" s="26">
        <f t="shared" si="2"/>
        <v>301622.40153103258</v>
      </c>
      <c r="E43" s="26">
        <f t="shared" si="5"/>
        <v>301622.40153103258</v>
      </c>
      <c r="F43" s="44">
        <f t="shared" si="6"/>
        <v>1097122</v>
      </c>
      <c r="G43" s="45">
        <f>IF(B43="","",IF($C$4=Param!$A$2,VLOOKUP($C$4,Param!$A:$G,MATCH(Flujo!$G$14,Param!$A$1:$H$1,0),0)*$C$6,VLOOKUP($C$4,Param!$A:$G,MATCH(Flujo!$G$14,Param!$A$1:$H$1,0),0)*Flujo!$L43))</f>
        <v>80750</v>
      </c>
      <c r="H43" s="23">
        <f t="shared" si="7"/>
        <v>1177872</v>
      </c>
      <c r="I43" s="23">
        <f t="shared" si="8"/>
        <v>30954226.878481831</v>
      </c>
      <c r="J43" s="23"/>
      <c r="K43" s="28">
        <f t="shared" si="3"/>
        <v>1177872</v>
      </c>
      <c r="L43" s="25">
        <f t="shared" si="9"/>
        <v>32051348.878481831</v>
      </c>
    </row>
    <row r="44" spans="2:12" s="15" customFormat="1" ht="15" x14ac:dyDescent="0.25">
      <c r="B44" s="15">
        <f t="shared" si="0"/>
        <v>28</v>
      </c>
      <c r="C44" s="25">
        <f t="shared" si="1"/>
        <v>803056.8446544226</v>
      </c>
      <c r="D44" s="26">
        <f t="shared" si="2"/>
        <v>294065.1553455774</v>
      </c>
      <c r="E44" s="26">
        <f t="shared" si="5"/>
        <v>294065.1553455774</v>
      </c>
      <c r="F44" s="44">
        <f t="shared" si="6"/>
        <v>1097122</v>
      </c>
      <c r="G44" s="45">
        <f>IF(B44="","",IF($C$4=Param!$A$2,VLOOKUP($C$4,Param!$A:$G,MATCH(Flujo!$G$14,Param!$A$1:$H$1,0),0)*$C$6,VLOOKUP($C$4,Param!$A:$G,MATCH(Flujo!$G$14,Param!$A$1:$H$1,0),0)*Flujo!$L44))</f>
        <v>80750</v>
      </c>
      <c r="H44" s="23">
        <f t="shared" si="7"/>
        <v>1177872</v>
      </c>
      <c r="I44" s="23">
        <f t="shared" si="8"/>
        <v>30151170.033827409</v>
      </c>
      <c r="J44" s="23"/>
      <c r="K44" s="28">
        <f t="shared" si="3"/>
        <v>1177872</v>
      </c>
      <c r="L44" s="25">
        <f t="shared" si="9"/>
        <v>31248292.033827409</v>
      </c>
    </row>
    <row r="45" spans="2:12" s="15" customFormat="1" ht="15" x14ac:dyDescent="0.25">
      <c r="B45" s="15">
        <f t="shared" si="0"/>
        <v>29</v>
      </c>
      <c r="C45" s="25">
        <f t="shared" si="1"/>
        <v>810685.8846786397</v>
      </c>
      <c r="D45" s="26">
        <f t="shared" si="2"/>
        <v>286436.11532136035</v>
      </c>
      <c r="E45" s="26">
        <f t="shared" si="5"/>
        <v>286436.11532136035</v>
      </c>
      <c r="F45" s="44">
        <f t="shared" si="6"/>
        <v>1097122</v>
      </c>
      <c r="G45" s="45">
        <f>IF(B45="","",IF($C$4=Param!$A$2,VLOOKUP($C$4,Param!$A:$G,MATCH(Flujo!$G$14,Param!$A$1:$H$1,0),0)*$C$6,VLOOKUP($C$4,Param!$A:$G,MATCH(Flujo!$G$14,Param!$A$1:$H$1,0),0)*Flujo!$L45))</f>
        <v>80750</v>
      </c>
      <c r="H45" s="23">
        <f t="shared" si="7"/>
        <v>1177872</v>
      </c>
      <c r="I45" s="23">
        <f t="shared" si="8"/>
        <v>29340484.14914877</v>
      </c>
      <c r="J45" s="23"/>
      <c r="K45" s="28">
        <f t="shared" si="3"/>
        <v>1177872</v>
      </c>
      <c r="L45" s="25">
        <f t="shared" si="9"/>
        <v>30437606.14914877</v>
      </c>
    </row>
    <row r="46" spans="2:12" s="15" customFormat="1" ht="15" x14ac:dyDescent="0.25">
      <c r="B46" s="15">
        <f t="shared" si="0"/>
        <v>30</v>
      </c>
      <c r="C46" s="25">
        <f t="shared" si="1"/>
        <v>818387.40058308677</v>
      </c>
      <c r="D46" s="26">
        <f t="shared" si="2"/>
        <v>278734.59941691329</v>
      </c>
      <c r="E46" s="26">
        <f t="shared" si="5"/>
        <v>278734.59941691329</v>
      </c>
      <c r="F46" s="44">
        <f t="shared" si="6"/>
        <v>1097122</v>
      </c>
      <c r="G46" s="45">
        <f>IF(B46="","",IF($C$4=Param!$A$2,VLOOKUP($C$4,Param!$A:$G,MATCH(Flujo!$G$14,Param!$A$1:$H$1,0),0)*$C$6,VLOOKUP($C$4,Param!$A:$G,MATCH(Flujo!$G$14,Param!$A$1:$H$1,0),0)*Flujo!$L46))</f>
        <v>80750</v>
      </c>
      <c r="H46" s="23">
        <f t="shared" si="7"/>
        <v>1177872</v>
      </c>
      <c r="I46" s="23">
        <f t="shared" si="8"/>
        <v>28522096.748565681</v>
      </c>
      <c r="J46" s="23"/>
      <c r="K46" s="28">
        <f t="shared" si="3"/>
        <v>1177872</v>
      </c>
      <c r="L46" s="25">
        <f t="shared" si="9"/>
        <v>29619218.748565681</v>
      </c>
    </row>
    <row r="47" spans="2:12" s="15" customFormat="1" ht="15" x14ac:dyDescent="0.25">
      <c r="B47" s="15">
        <f t="shared" si="0"/>
        <v>31</v>
      </c>
      <c r="C47" s="25">
        <f t="shared" si="1"/>
        <v>826162.08088862605</v>
      </c>
      <c r="D47" s="26">
        <f t="shared" si="2"/>
        <v>270959.91911137395</v>
      </c>
      <c r="E47" s="26">
        <f t="shared" si="5"/>
        <v>270959.91911137395</v>
      </c>
      <c r="F47" s="44">
        <f t="shared" si="6"/>
        <v>1097122</v>
      </c>
      <c r="G47" s="45">
        <f>IF(B47="","",IF($C$4=Param!$A$2,VLOOKUP($C$4,Param!$A:$G,MATCH(Flujo!$G$14,Param!$A$1:$H$1,0),0)*$C$6,VLOOKUP($C$4,Param!$A:$G,MATCH(Flujo!$G$14,Param!$A$1:$H$1,0),0)*Flujo!$L47))</f>
        <v>80750</v>
      </c>
      <c r="H47" s="23">
        <f t="shared" si="7"/>
        <v>1177872</v>
      </c>
      <c r="I47" s="23">
        <f t="shared" si="8"/>
        <v>27695934.667677056</v>
      </c>
      <c r="J47" s="23"/>
      <c r="K47" s="28">
        <f t="shared" si="3"/>
        <v>1177872</v>
      </c>
      <c r="L47" s="25">
        <f t="shared" si="9"/>
        <v>28793056.667677056</v>
      </c>
    </row>
    <row r="48" spans="2:12" s="15" customFormat="1" ht="15" x14ac:dyDescent="0.25">
      <c r="B48" s="15">
        <f t="shared" si="0"/>
        <v>32</v>
      </c>
      <c r="C48" s="25">
        <f t="shared" si="1"/>
        <v>834010.62065706798</v>
      </c>
      <c r="D48" s="26">
        <f t="shared" si="2"/>
        <v>263111.37934293202</v>
      </c>
      <c r="E48" s="26">
        <f t="shared" si="5"/>
        <v>263111.37934293202</v>
      </c>
      <c r="F48" s="44">
        <f t="shared" si="6"/>
        <v>1097122</v>
      </c>
      <c r="G48" s="45">
        <f>IF(B48="","",IF($C$4=Param!$A$2,VLOOKUP($C$4,Param!$A:$G,MATCH(Flujo!$G$14,Param!$A$1:$H$1,0),0)*$C$6,VLOOKUP($C$4,Param!$A:$G,MATCH(Flujo!$G$14,Param!$A$1:$H$1,0),0)*Flujo!$L48))</f>
        <v>80750</v>
      </c>
      <c r="H48" s="23">
        <f t="shared" si="7"/>
        <v>1177872</v>
      </c>
      <c r="I48" s="23">
        <f t="shared" si="8"/>
        <v>26861924.047019988</v>
      </c>
      <c r="J48" s="23"/>
      <c r="K48" s="28">
        <f t="shared" si="3"/>
        <v>1177872</v>
      </c>
      <c r="L48" s="25">
        <f t="shared" si="9"/>
        <v>27959046.047019988</v>
      </c>
    </row>
    <row r="49" spans="2:12" s="15" customFormat="1" ht="15" x14ac:dyDescent="0.25">
      <c r="B49" s="15">
        <f t="shared" ref="B49:B80" si="10">IF(B48&gt;=$C$9,"",IF(I48=0,"",B48+1))</f>
        <v>33</v>
      </c>
      <c r="C49" s="25">
        <f t="shared" ref="C49:C80" si="11">IF(B49="","",IF(B49=$C$9,I48,cuota-D49))</f>
        <v>841933.72155331005</v>
      </c>
      <c r="D49" s="26">
        <f t="shared" ref="D49:D80" si="12">(IF(I48&lt;0,0,IF(B49&lt;=$C$9,$I48*$C$12,"")))</f>
        <v>255188.27844668989</v>
      </c>
      <c r="E49" s="26">
        <f t="shared" ref="E49:E80" si="13">IF(B49="","",SUM(D49:D49))</f>
        <v>255188.27844668989</v>
      </c>
      <c r="F49" s="44">
        <f t="shared" ref="F49:F80" si="14">IF(B49=$C$9,D49+C49,IF(B49="","",cuota))</f>
        <v>1097122</v>
      </c>
      <c r="G49" s="45">
        <f>IF(B49="","",IF($C$4=Param!$A$2,VLOOKUP($C$4,Param!$A:$G,MATCH(Flujo!$G$14,Param!$A$1:$H$1,0),0)*$C$6,VLOOKUP($C$4,Param!$A:$G,MATCH(Flujo!$G$14,Param!$A$1:$H$1,0),0)*Flujo!$L49))</f>
        <v>80750</v>
      </c>
      <c r="H49" s="23">
        <f t="shared" si="7"/>
        <v>1177872</v>
      </c>
      <c r="I49" s="23">
        <f t="shared" ref="I49:I80" si="15">IF(B49&lt;=$C$9,(I48-C49),"")</f>
        <v>26019990.325466678</v>
      </c>
      <c r="J49" s="23"/>
      <c r="K49" s="28">
        <f t="shared" ref="K49:K80" si="16">SUM(F49:G49)</f>
        <v>1177872</v>
      </c>
      <c r="L49" s="25">
        <f t="shared" si="9"/>
        <v>27117112.325466678</v>
      </c>
    </row>
    <row r="50" spans="2:12" s="15" customFormat="1" ht="15" x14ac:dyDescent="0.25">
      <c r="B50" s="15">
        <f t="shared" si="10"/>
        <v>34</v>
      </c>
      <c r="C50" s="25">
        <f t="shared" si="11"/>
        <v>849932.09190806653</v>
      </c>
      <c r="D50" s="26">
        <f t="shared" si="12"/>
        <v>247189.90809193344</v>
      </c>
      <c r="E50" s="26">
        <f t="shared" si="13"/>
        <v>247189.90809193344</v>
      </c>
      <c r="F50" s="44">
        <f t="shared" si="14"/>
        <v>1097122</v>
      </c>
      <c r="G50" s="45">
        <f>IF(B50="","",IF($C$4=Param!$A$2,VLOOKUP($C$4,Param!$A:$G,MATCH(Flujo!$G$14,Param!$A$1:$H$1,0),0)*$C$6,VLOOKUP($C$4,Param!$A:$G,MATCH(Flujo!$G$14,Param!$A$1:$H$1,0),0)*Flujo!$L50))</f>
        <v>80750</v>
      </c>
      <c r="H50" s="23">
        <f t="shared" si="7"/>
        <v>1177872</v>
      </c>
      <c r="I50" s="23">
        <f t="shared" si="15"/>
        <v>25170058.23355861</v>
      </c>
      <c r="J50" s="23"/>
      <c r="K50" s="28">
        <f t="shared" si="16"/>
        <v>1177872</v>
      </c>
      <c r="L50" s="25">
        <f t="shared" si="9"/>
        <v>26267180.23355861</v>
      </c>
    </row>
    <row r="51" spans="2:12" s="15" customFormat="1" ht="15" x14ac:dyDescent="0.25">
      <c r="B51" s="15">
        <f t="shared" si="10"/>
        <v>35</v>
      </c>
      <c r="C51" s="25">
        <f t="shared" si="11"/>
        <v>858006.44678119314</v>
      </c>
      <c r="D51" s="26">
        <f t="shared" si="12"/>
        <v>239115.5532188068</v>
      </c>
      <c r="E51" s="26">
        <f t="shared" si="13"/>
        <v>239115.5532188068</v>
      </c>
      <c r="F51" s="44">
        <f t="shared" si="14"/>
        <v>1097122</v>
      </c>
      <c r="G51" s="45">
        <f>IF(B51="","",IF($C$4=Param!$A$2,VLOOKUP($C$4,Param!$A:$G,MATCH(Flujo!$G$14,Param!$A$1:$H$1,0),0)*$C$6,VLOOKUP($C$4,Param!$A:$G,MATCH(Flujo!$G$14,Param!$A$1:$H$1,0),0)*Flujo!$L51))</f>
        <v>80750</v>
      </c>
      <c r="H51" s="23">
        <f t="shared" si="7"/>
        <v>1177872</v>
      </c>
      <c r="I51" s="23">
        <f t="shared" si="15"/>
        <v>24312051.786777418</v>
      </c>
      <c r="J51" s="23"/>
      <c r="K51" s="28">
        <f t="shared" si="16"/>
        <v>1177872</v>
      </c>
      <c r="L51" s="25">
        <f t="shared" si="9"/>
        <v>25409173.786777418</v>
      </c>
    </row>
    <row r="52" spans="2:12" s="15" customFormat="1" ht="15" x14ac:dyDescent="0.25">
      <c r="B52" s="15">
        <f t="shared" si="10"/>
        <v>36</v>
      </c>
      <c r="C52" s="25">
        <f t="shared" si="11"/>
        <v>866157.50802561454</v>
      </c>
      <c r="D52" s="26">
        <f t="shared" si="12"/>
        <v>230964.49197438546</v>
      </c>
      <c r="E52" s="26">
        <f t="shared" si="13"/>
        <v>230964.49197438546</v>
      </c>
      <c r="F52" s="44">
        <f t="shared" si="14"/>
        <v>1097122</v>
      </c>
      <c r="G52" s="45">
        <f>IF(B52="","",IF($C$4=Param!$A$2,VLOOKUP($C$4,Param!$A:$G,MATCH(Flujo!$G$14,Param!$A$1:$H$1,0),0)*$C$6,VLOOKUP($C$4,Param!$A:$G,MATCH(Flujo!$G$14,Param!$A$1:$H$1,0),0)*Flujo!$L52))</f>
        <v>80750</v>
      </c>
      <c r="H52" s="23">
        <f t="shared" si="7"/>
        <v>1177872</v>
      </c>
      <c r="I52" s="23">
        <f t="shared" si="15"/>
        <v>23445894.278751805</v>
      </c>
      <c r="J52" s="23"/>
      <c r="K52" s="28">
        <f t="shared" si="16"/>
        <v>1177872</v>
      </c>
      <c r="L52" s="25">
        <f t="shared" si="9"/>
        <v>24543016.278751805</v>
      </c>
    </row>
    <row r="53" spans="2:12" s="15" customFormat="1" ht="15" x14ac:dyDescent="0.25">
      <c r="B53" s="15">
        <f t="shared" si="10"/>
        <v>37</v>
      </c>
      <c r="C53" s="25">
        <f t="shared" si="11"/>
        <v>874386.00435185782</v>
      </c>
      <c r="D53" s="26">
        <f t="shared" si="12"/>
        <v>222735.99564814215</v>
      </c>
      <c r="E53" s="26">
        <f t="shared" si="13"/>
        <v>222735.99564814215</v>
      </c>
      <c r="F53" s="44">
        <f t="shared" si="14"/>
        <v>1097122</v>
      </c>
      <c r="G53" s="45">
        <f>IF(B53="","",IF($C$4=Param!$A$2,VLOOKUP($C$4,Param!$A:$G,MATCH(Flujo!$G$14,Param!$A$1:$H$1,0),0)*$C$6,VLOOKUP($C$4,Param!$A:$G,MATCH(Flujo!$G$14,Param!$A$1:$H$1,0),0)*Flujo!$L53))</f>
        <v>80750</v>
      </c>
      <c r="H53" s="23">
        <f t="shared" si="7"/>
        <v>1177872</v>
      </c>
      <c r="I53" s="23">
        <f t="shared" si="15"/>
        <v>22571508.274399947</v>
      </c>
      <c r="J53" s="23"/>
      <c r="K53" s="28">
        <f t="shared" si="16"/>
        <v>1177872</v>
      </c>
      <c r="L53" s="25">
        <f t="shared" si="9"/>
        <v>23668630.274399947</v>
      </c>
    </row>
    <row r="54" spans="2:12" s="15" customFormat="1" ht="15" x14ac:dyDescent="0.25">
      <c r="B54" s="15">
        <f t="shared" si="10"/>
        <v>38</v>
      </c>
      <c r="C54" s="25">
        <f t="shared" si="11"/>
        <v>882692.67139320052</v>
      </c>
      <c r="D54" s="26">
        <f t="shared" si="12"/>
        <v>214429.32860679951</v>
      </c>
      <c r="E54" s="26">
        <f t="shared" si="13"/>
        <v>214429.32860679951</v>
      </c>
      <c r="F54" s="44">
        <f t="shared" si="14"/>
        <v>1097122</v>
      </c>
      <c r="G54" s="45">
        <f>IF(B54="","",IF($C$4=Param!$A$2,VLOOKUP($C$4,Param!$A:$G,MATCH(Flujo!$G$14,Param!$A$1:$H$1,0),0)*$C$6,VLOOKUP($C$4,Param!$A:$G,MATCH(Flujo!$G$14,Param!$A$1:$H$1,0),0)*Flujo!$L54))</f>
        <v>80750</v>
      </c>
      <c r="H54" s="23">
        <f t="shared" si="7"/>
        <v>1177872</v>
      </c>
      <c r="I54" s="23">
        <f t="shared" si="15"/>
        <v>21688815.603006747</v>
      </c>
      <c r="J54" s="23"/>
      <c r="K54" s="28">
        <f t="shared" si="16"/>
        <v>1177872</v>
      </c>
      <c r="L54" s="25">
        <f t="shared" si="9"/>
        <v>22785937.603006747</v>
      </c>
    </row>
    <row r="55" spans="2:12" s="15" customFormat="1" ht="15" x14ac:dyDescent="0.25">
      <c r="B55" s="15">
        <f t="shared" si="10"/>
        <v>39</v>
      </c>
      <c r="C55" s="25">
        <f t="shared" si="11"/>
        <v>891078.25177143584</v>
      </c>
      <c r="D55" s="26">
        <f t="shared" si="12"/>
        <v>206043.7482285641</v>
      </c>
      <c r="E55" s="26">
        <f t="shared" si="13"/>
        <v>206043.7482285641</v>
      </c>
      <c r="F55" s="44">
        <f t="shared" si="14"/>
        <v>1097122</v>
      </c>
      <c r="G55" s="45">
        <f>IF(B55="","",IF($C$4=Param!$A$2,VLOOKUP($C$4,Param!$A:$G,MATCH(Flujo!$G$14,Param!$A$1:$H$1,0),0)*$C$6,VLOOKUP($C$4,Param!$A:$G,MATCH(Flujo!$G$14,Param!$A$1:$H$1,0),0)*Flujo!$L55))</f>
        <v>80750</v>
      </c>
      <c r="H55" s="23">
        <f t="shared" si="7"/>
        <v>1177872</v>
      </c>
      <c r="I55" s="23">
        <f t="shared" si="15"/>
        <v>20797737.351235311</v>
      </c>
      <c r="J55" s="23"/>
      <c r="K55" s="28">
        <f t="shared" si="16"/>
        <v>1177872</v>
      </c>
      <c r="L55" s="25">
        <f t="shared" si="9"/>
        <v>21894859.351235311</v>
      </c>
    </row>
    <row r="56" spans="2:12" s="15" customFormat="1" ht="15" x14ac:dyDescent="0.25">
      <c r="B56" s="15">
        <f t="shared" si="10"/>
        <v>40</v>
      </c>
      <c r="C56" s="25">
        <f t="shared" si="11"/>
        <v>899543.49516326457</v>
      </c>
      <c r="D56" s="26">
        <f t="shared" si="12"/>
        <v>197578.50483673546</v>
      </c>
      <c r="E56" s="26">
        <f t="shared" si="13"/>
        <v>197578.50483673546</v>
      </c>
      <c r="F56" s="44">
        <f t="shared" si="14"/>
        <v>1097122</v>
      </c>
      <c r="G56" s="45">
        <f>IF(B56="","",IF($C$4=Param!$A$2,VLOOKUP($C$4,Param!$A:$G,MATCH(Flujo!$G$14,Param!$A$1:$H$1,0),0)*$C$6,VLOOKUP($C$4,Param!$A:$G,MATCH(Flujo!$G$14,Param!$A$1:$H$1,0),0)*Flujo!$L56))</f>
        <v>80750</v>
      </c>
      <c r="H56" s="23">
        <f t="shared" si="7"/>
        <v>1177872</v>
      </c>
      <c r="I56" s="23">
        <f t="shared" si="15"/>
        <v>19898193.856072046</v>
      </c>
      <c r="J56" s="23"/>
      <c r="K56" s="28">
        <f t="shared" si="16"/>
        <v>1177872</v>
      </c>
      <c r="L56" s="25">
        <f t="shared" si="9"/>
        <v>20995315.856072046</v>
      </c>
    </row>
    <row r="57" spans="2:12" s="15" customFormat="1" ht="15" x14ac:dyDescent="0.25">
      <c r="B57" s="15">
        <f t="shared" si="10"/>
        <v>41</v>
      </c>
      <c r="C57" s="25">
        <f t="shared" si="11"/>
        <v>908089.15836731554</v>
      </c>
      <c r="D57" s="26">
        <f t="shared" si="12"/>
        <v>189032.84163268443</v>
      </c>
      <c r="E57" s="26">
        <f t="shared" si="13"/>
        <v>189032.84163268443</v>
      </c>
      <c r="F57" s="44">
        <f t="shared" si="14"/>
        <v>1097122</v>
      </c>
      <c r="G57" s="45">
        <f>IF(B57="","",IF($C$4=Param!$A$2,VLOOKUP($C$4,Param!$A:$G,MATCH(Flujo!$G$14,Param!$A$1:$H$1,0),0)*$C$6,VLOOKUP($C$4,Param!$A:$G,MATCH(Flujo!$G$14,Param!$A$1:$H$1,0),0)*Flujo!$L57))</f>
        <v>80750</v>
      </c>
      <c r="H57" s="23">
        <f t="shared" si="7"/>
        <v>1177872</v>
      </c>
      <c r="I57" s="23">
        <f t="shared" si="15"/>
        <v>18990104.697704729</v>
      </c>
      <c r="J57" s="23"/>
      <c r="K57" s="28">
        <f t="shared" si="16"/>
        <v>1177872</v>
      </c>
      <c r="L57" s="25">
        <f t="shared" si="9"/>
        <v>20087226.697704729</v>
      </c>
    </row>
    <row r="58" spans="2:12" s="15" customFormat="1" ht="15" x14ac:dyDescent="0.25">
      <c r="B58" s="15">
        <f t="shared" si="10"/>
        <v>42</v>
      </c>
      <c r="C58" s="25">
        <f t="shared" si="11"/>
        <v>916716.00537180505</v>
      </c>
      <c r="D58" s="26">
        <f t="shared" si="12"/>
        <v>180405.99462819492</v>
      </c>
      <c r="E58" s="26">
        <f t="shared" si="13"/>
        <v>180405.99462819492</v>
      </c>
      <c r="F58" s="44">
        <f t="shared" si="14"/>
        <v>1097122</v>
      </c>
      <c r="G58" s="45">
        <f>IF(B58="","",IF($C$4=Param!$A$2,VLOOKUP($C$4,Param!$A:$G,MATCH(Flujo!$G$14,Param!$A$1:$H$1,0),0)*$C$6,VLOOKUP($C$4,Param!$A:$G,MATCH(Flujo!$G$14,Param!$A$1:$H$1,0),0)*Flujo!$L58))</f>
        <v>80750</v>
      </c>
      <c r="H58" s="23">
        <f t="shared" si="7"/>
        <v>1177872</v>
      </c>
      <c r="I58" s="23">
        <f t="shared" si="15"/>
        <v>18073388.692332923</v>
      </c>
      <c r="J58" s="23"/>
      <c r="K58" s="28">
        <f t="shared" si="16"/>
        <v>1177872</v>
      </c>
      <c r="L58" s="25">
        <f t="shared" si="9"/>
        <v>19170510.692332923</v>
      </c>
    </row>
    <row r="59" spans="2:12" s="15" customFormat="1" ht="15" x14ac:dyDescent="0.25">
      <c r="B59" s="15">
        <f t="shared" si="10"/>
        <v>43</v>
      </c>
      <c r="C59" s="25">
        <f t="shared" si="11"/>
        <v>925424.80742283724</v>
      </c>
      <c r="D59" s="26">
        <f t="shared" si="12"/>
        <v>171697.19257716276</v>
      </c>
      <c r="E59" s="26">
        <f t="shared" si="13"/>
        <v>171697.19257716276</v>
      </c>
      <c r="F59" s="44">
        <f t="shared" si="14"/>
        <v>1097122</v>
      </c>
      <c r="G59" s="45">
        <f>IF(B59="","",IF($C$4=Param!$A$2,VLOOKUP($C$4,Param!$A:$G,MATCH(Flujo!$G$14,Param!$A$1:$H$1,0),0)*$C$6,VLOOKUP($C$4,Param!$A:$G,MATCH(Flujo!$G$14,Param!$A$1:$H$1,0),0)*Flujo!$L59))</f>
        <v>80750</v>
      </c>
      <c r="H59" s="23">
        <f t="shared" si="7"/>
        <v>1177872</v>
      </c>
      <c r="I59" s="23">
        <f t="shared" si="15"/>
        <v>17147963.884910084</v>
      </c>
      <c r="J59" s="23"/>
      <c r="K59" s="28">
        <f t="shared" si="16"/>
        <v>1177872</v>
      </c>
      <c r="L59" s="25">
        <f t="shared" si="9"/>
        <v>18245085.884910084</v>
      </c>
    </row>
    <row r="60" spans="2:12" s="15" customFormat="1" ht="15" x14ac:dyDescent="0.25">
      <c r="B60" s="15">
        <f t="shared" si="10"/>
        <v>44</v>
      </c>
      <c r="C60" s="25">
        <f t="shared" si="11"/>
        <v>934216.34309335425</v>
      </c>
      <c r="D60" s="26">
        <f t="shared" si="12"/>
        <v>162905.6569066458</v>
      </c>
      <c r="E60" s="26">
        <f t="shared" si="13"/>
        <v>162905.6569066458</v>
      </c>
      <c r="F60" s="44">
        <f t="shared" si="14"/>
        <v>1097122</v>
      </c>
      <c r="G60" s="45">
        <f>IF(B60="","",IF($C$4=Param!$A$2,VLOOKUP($C$4,Param!$A:$G,MATCH(Flujo!$G$14,Param!$A$1:$H$1,0),0)*$C$6,VLOOKUP($C$4,Param!$A:$G,MATCH(Flujo!$G$14,Param!$A$1:$H$1,0),0)*Flujo!$L60))</f>
        <v>80750</v>
      </c>
      <c r="H60" s="23">
        <f t="shared" si="7"/>
        <v>1177872</v>
      </c>
      <c r="I60" s="23">
        <f t="shared" si="15"/>
        <v>16213747.54181673</v>
      </c>
      <c r="J60" s="23"/>
      <c r="K60" s="28">
        <f t="shared" si="16"/>
        <v>1177872</v>
      </c>
      <c r="L60" s="25">
        <f t="shared" si="9"/>
        <v>17310869.54181673</v>
      </c>
    </row>
    <row r="61" spans="2:12" s="15" customFormat="1" ht="15" x14ac:dyDescent="0.25">
      <c r="B61" s="15">
        <f t="shared" si="10"/>
        <v>45</v>
      </c>
      <c r="C61" s="25">
        <f t="shared" si="11"/>
        <v>943091.39835274103</v>
      </c>
      <c r="D61" s="26">
        <f t="shared" si="12"/>
        <v>154030.60164725894</v>
      </c>
      <c r="E61" s="26">
        <f t="shared" si="13"/>
        <v>154030.60164725894</v>
      </c>
      <c r="F61" s="44">
        <f t="shared" si="14"/>
        <v>1097122</v>
      </c>
      <c r="G61" s="45">
        <f>IF(B61="","",IF($C$4=Param!$A$2,VLOOKUP($C$4,Param!$A:$G,MATCH(Flujo!$G$14,Param!$A$1:$H$1,0),0)*$C$6,VLOOKUP($C$4,Param!$A:$G,MATCH(Flujo!$G$14,Param!$A$1:$H$1,0),0)*Flujo!$L61))</f>
        <v>80750</v>
      </c>
      <c r="H61" s="23">
        <f t="shared" si="7"/>
        <v>1177872</v>
      </c>
      <c r="I61" s="23">
        <f t="shared" si="15"/>
        <v>15270656.14346399</v>
      </c>
      <c r="J61" s="23"/>
      <c r="K61" s="28">
        <f t="shared" si="16"/>
        <v>1177872</v>
      </c>
      <c r="L61" s="25">
        <f t="shared" si="9"/>
        <v>16367778.14346399</v>
      </c>
    </row>
    <row r="62" spans="2:12" s="15" customFormat="1" ht="15" x14ac:dyDescent="0.25">
      <c r="B62" s="15">
        <f t="shared" si="10"/>
        <v>46</v>
      </c>
      <c r="C62" s="25">
        <f t="shared" si="11"/>
        <v>952050.76663709211</v>
      </c>
      <c r="D62" s="26">
        <f t="shared" si="12"/>
        <v>145071.23336290789</v>
      </c>
      <c r="E62" s="26">
        <f t="shared" si="13"/>
        <v>145071.23336290789</v>
      </c>
      <c r="F62" s="44">
        <f t="shared" si="14"/>
        <v>1097122</v>
      </c>
      <c r="G62" s="45">
        <f>IF(B62="","",IF($C$4=Param!$A$2,VLOOKUP($C$4,Param!$A:$G,MATCH(Flujo!$G$14,Param!$A$1:$H$1,0),0)*$C$6,VLOOKUP($C$4,Param!$A:$G,MATCH(Flujo!$G$14,Param!$A$1:$H$1,0),0)*Flujo!$L62))</f>
        <v>80750</v>
      </c>
      <c r="H62" s="23">
        <f t="shared" si="7"/>
        <v>1177872</v>
      </c>
      <c r="I62" s="23">
        <f t="shared" si="15"/>
        <v>14318605.376826897</v>
      </c>
      <c r="J62" s="23"/>
      <c r="K62" s="28">
        <f t="shared" si="16"/>
        <v>1177872</v>
      </c>
      <c r="L62" s="25">
        <f t="shared" si="9"/>
        <v>15415727.376826897</v>
      </c>
    </row>
    <row r="63" spans="2:12" s="15" customFormat="1" ht="15" x14ac:dyDescent="0.25">
      <c r="B63" s="15">
        <f t="shared" si="10"/>
        <v>47</v>
      </c>
      <c r="C63" s="25">
        <f t="shared" si="11"/>
        <v>961095.24892014451</v>
      </c>
      <c r="D63" s="26">
        <f t="shared" si="12"/>
        <v>136026.75107985552</v>
      </c>
      <c r="E63" s="26">
        <f t="shared" si="13"/>
        <v>136026.75107985552</v>
      </c>
      <c r="F63" s="44">
        <f t="shared" si="14"/>
        <v>1097122</v>
      </c>
      <c r="G63" s="45">
        <f>IF(B63="","",IF($C$4=Param!$A$2,VLOOKUP($C$4,Param!$A:$G,MATCH(Flujo!$G$14,Param!$A$1:$H$1,0),0)*$C$6,VLOOKUP($C$4,Param!$A:$G,MATCH(Flujo!$G$14,Param!$A$1:$H$1,0),0)*Flujo!$L63))</f>
        <v>80750</v>
      </c>
      <c r="H63" s="23">
        <f t="shared" si="7"/>
        <v>1177872</v>
      </c>
      <c r="I63" s="23">
        <f t="shared" si="15"/>
        <v>13357510.127906753</v>
      </c>
      <c r="J63" s="23"/>
      <c r="K63" s="28">
        <f t="shared" si="16"/>
        <v>1177872</v>
      </c>
      <c r="L63" s="25">
        <f t="shared" si="9"/>
        <v>14454632.127906753</v>
      </c>
    </row>
    <row r="64" spans="2:12" s="15" customFormat="1" ht="15" x14ac:dyDescent="0.25">
      <c r="B64" s="15">
        <f t="shared" si="10"/>
        <v>48</v>
      </c>
      <c r="C64" s="25">
        <f t="shared" si="11"/>
        <v>970225.65378488589</v>
      </c>
      <c r="D64" s="26">
        <f t="shared" si="12"/>
        <v>126896.34621511414</v>
      </c>
      <c r="E64" s="26">
        <f t="shared" si="13"/>
        <v>126896.34621511414</v>
      </c>
      <c r="F64" s="44">
        <f t="shared" si="14"/>
        <v>1097122</v>
      </c>
      <c r="G64" s="45">
        <f>IF(B64="","",IF($C$4=Param!$A$2,VLOOKUP($C$4,Param!$A:$G,MATCH(Flujo!$G$14,Param!$A$1:$H$1,0),0)*$C$6,VLOOKUP($C$4,Param!$A:$G,MATCH(Flujo!$G$14,Param!$A$1:$H$1,0),0)*Flujo!$L64))</f>
        <v>80750</v>
      </c>
      <c r="H64" s="23">
        <f t="shared" si="7"/>
        <v>1177872</v>
      </c>
      <c r="I64" s="23">
        <f t="shared" si="15"/>
        <v>12387284.474121867</v>
      </c>
      <c r="J64" s="23"/>
      <c r="K64" s="28">
        <f t="shared" si="16"/>
        <v>1177872</v>
      </c>
      <c r="L64" s="25">
        <f t="shared" si="9"/>
        <v>13484406.474121867</v>
      </c>
    </row>
    <row r="65" spans="2:12" s="15" customFormat="1" ht="15" x14ac:dyDescent="0.25">
      <c r="B65" s="15">
        <f t="shared" si="10"/>
        <v>49</v>
      </c>
      <c r="C65" s="25">
        <f t="shared" si="11"/>
        <v>979442.79749584221</v>
      </c>
      <c r="D65" s="26">
        <f t="shared" si="12"/>
        <v>117679.20250415773</v>
      </c>
      <c r="E65" s="26">
        <f t="shared" si="13"/>
        <v>117679.20250415773</v>
      </c>
      <c r="F65" s="44">
        <f t="shared" si="14"/>
        <v>1097122</v>
      </c>
      <c r="G65" s="45">
        <f>IF(B65="","",IF($C$4=Param!$A$2,VLOOKUP($C$4,Param!$A:$G,MATCH(Flujo!$G$14,Param!$A$1:$H$1,0),0)*$C$6,VLOOKUP($C$4,Param!$A:$G,MATCH(Flujo!$G$14,Param!$A$1:$H$1,0),0)*Flujo!$L65))</f>
        <v>80750</v>
      </c>
      <c r="H65" s="23">
        <f t="shared" si="7"/>
        <v>1177872</v>
      </c>
      <c r="I65" s="23">
        <f t="shared" si="15"/>
        <v>11407841.676626025</v>
      </c>
      <c r="J65" s="23"/>
      <c r="K65" s="28">
        <f t="shared" si="16"/>
        <v>1177872</v>
      </c>
      <c r="L65" s="25">
        <f t="shared" si="9"/>
        <v>12504963.676626025</v>
      </c>
    </row>
    <row r="66" spans="2:12" s="15" customFormat="1" ht="15" x14ac:dyDescent="0.25">
      <c r="B66" s="15">
        <f t="shared" si="10"/>
        <v>50</v>
      </c>
      <c r="C66" s="25">
        <f t="shared" si="11"/>
        <v>988747.50407205278</v>
      </c>
      <c r="D66" s="26">
        <f t="shared" si="12"/>
        <v>108374.49592794724</v>
      </c>
      <c r="E66" s="26">
        <f t="shared" si="13"/>
        <v>108374.49592794724</v>
      </c>
      <c r="F66" s="44">
        <f t="shared" si="14"/>
        <v>1097122</v>
      </c>
      <c r="G66" s="45">
        <f>IF(B66="","",IF($C$4=Param!$A$2,VLOOKUP($C$4,Param!$A:$G,MATCH(Flujo!$G$14,Param!$A$1:$H$1,0),0)*$C$6,VLOOKUP($C$4,Param!$A:$G,MATCH(Flujo!$G$14,Param!$A$1:$H$1,0),0)*Flujo!$L66))</f>
        <v>80750</v>
      </c>
      <c r="H66" s="23">
        <f t="shared" si="7"/>
        <v>1177872</v>
      </c>
      <c r="I66" s="23">
        <f t="shared" si="15"/>
        <v>10419094.172553971</v>
      </c>
      <c r="J66" s="23"/>
      <c r="K66" s="28">
        <f t="shared" si="16"/>
        <v>1177872</v>
      </c>
      <c r="L66" s="25">
        <f t="shared" si="9"/>
        <v>11516216.172553971</v>
      </c>
    </row>
    <row r="67" spans="2:12" s="15" customFormat="1" ht="15" x14ac:dyDescent="0.25">
      <c r="B67" s="15">
        <f t="shared" si="10"/>
        <v>51</v>
      </c>
      <c r="C67" s="25">
        <f t="shared" si="11"/>
        <v>998140.6053607373</v>
      </c>
      <c r="D67" s="26">
        <f t="shared" si="12"/>
        <v>98981.394639262726</v>
      </c>
      <c r="E67" s="26">
        <f t="shared" si="13"/>
        <v>98981.394639262726</v>
      </c>
      <c r="F67" s="44">
        <f t="shared" si="14"/>
        <v>1097122</v>
      </c>
      <c r="G67" s="45">
        <f>IF(B67="","",IF($C$4=Param!$A$2,VLOOKUP($C$4,Param!$A:$G,MATCH(Flujo!$G$14,Param!$A$1:$H$1,0),0)*$C$6,VLOOKUP($C$4,Param!$A:$G,MATCH(Flujo!$G$14,Param!$A$1:$H$1,0),0)*Flujo!$L67))</f>
        <v>80750</v>
      </c>
      <c r="H67" s="23">
        <f t="shared" si="7"/>
        <v>1177872</v>
      </c>
      <c r="I67" s="23">
        <f t="shared" si="15"/>
        <v>9420953.5671932343</v>
      </c>
      <c r="J67" s="23"/>
      <c r="K67" s="28">
        <f t="shared" si="16"/>
        <v>1177872</v>
      </c>
      <c r="L67" s="25">
        <f t="shared" si="9"/>
        <v>10518075.567193234</v>
      </c>
    </row>
    <row r="68" spans="2:12" s="15" customFormat="1" ht="15" x14ac:dyDescent="0.25">
      <c r="B68" s="15">
        <f t="shared" si="10"/>
        <v>52</v>
      </c>
      <c r="C68" s="25">
        <f t="shared" si="11"/>
        <v>1007622.9411116643</v>
      </c>
      <c r="D68" s="26">
        <f t="shared" si="12"/>
        <v>89499.058888335727</v>
      </c>
      <c r="E68" s="26">
        <f t="shared" si="13"/>
        <v>89499.058888335727</v>
      </c>
      <c r="F68" s="44">
        <f t="shared" si="14"/>
        <v>1097122</v>
      </c>
      <c r="G68" s="45">
        <f>IF(B68="","",IF($C$4=Param!$A$2,VLOOKUP($C$4,Param!$A:$G,MATCH(Flujo!$G$14,Param!$A$1:$H$1,0),0)*$C$6,VLOOKUP($C$4,Param!$A:$G,MATCH(Flujo!$G$14,Param!$A$1:$H$1,0),0)*Flujo!$L68))</f>
        <v>80750</v>
      </c>
      <c r="H68" s="23">
        <f t="shared" si="7"/>
        <v>1177872</v>
      </c>
      <c r="I68" s="23">
        <f t="shared" si="15"/>
        <v>8413330.626081571</v>
      </c>
      <c r="J68" s="23"/>
      <c r="K68" s="28">
        <f t="shared" si="16"/>
        <v>1177872</v>
      </c>
      <c r="L68" s="25">
        <f t="shared" si="9"/>
        <v>9510452.626081571</v>
      </c>
    </row>
    <row r="69" spans="2:12" s="15" customFormat="1" ht="15" x14ac:dyDescent="0.25">
      <c r="B69" s="15">
        <f t="shared" si="10"/>
        <v>53</v>
      </c>
      <c r="C69" s="25">
        <f t="shared" si="11"/>
        <v>1017195.359052225</v>
      </c>
      <c r="D69" s="26">
        <f t="shared" si="12"/>
        <v>79926.640947774926</v>
      </c>
      <c r="E69" s="26">
        <f t="shared" si="13"/>
        <v>79926.640947774926</v>
      </c>
      <c r="F69" s="44">
        <f t="shared" si="14"/>
        <v>1097122</v>
      </c>
      <c r="G69" s="45">
        <f>IF(B69="","",IF($C$4=Param!$A$2,VLOOKUP($C$4,Param!$A:$G,MATCH(Flujo!$G$14,Param!$A$1:$H$1,0),0)*$C$6,VLOOKUP($C$4,Param!$A:$G,MATCH(Flujo!$G$14,Param!$A$1:$H$1,0),0)*Flujo!$L69))</f>
        <v>80750</v>
      </c>
      <c r="H69" s="23">
        <f t="shared" si="7"/>
        <v>1177872</v>
      </c>
      <c r="I69" s="23">
        <f t="shared" si="15"/>
        <v>7396135.267029346</v>
      </c>
      <c r="J69" s="23"/>
      <c r="K69" s="28">
        <f t="shared" si="16"/>
        <v>1177872</v>
      </c>
      <c r="L69" s="25">
        <f t="shared" si="9"/>
        <v>8493257.267029345</v>
      </c>
    </row>
    <row r="70" spans="2:12" s="15" customFormat="1" ht="15" x14ac:dyDescent="0.25">
      <c r="B70" s="15">
        <f t="shared" si="10"/>
        <v>54</v>
      </c>
      <c r="C70" s="25">
        <f t="shared" si="11"/>
        <v>1026858.7149632212</v>
      </c>
      <c r="D70" s="26">
        <f t="shared" si="12"/>
        <v>70263.285036778791</v>
      </c>
      <c r="E70" s="26">
        <f t="shared" si="13"/>
        <v>70263.285036778791</v>
      </c>
      <c r="F70" s="44">
        <f t="shared" si="14"/>
        <v>1097122</v>
      </c>
      <c r="G70" s="45">
        <f>IF(B70="","",IF($C$4=Param!$A$2,VLOOKUP($C$4,Param!$A:$G,MATCH(Flujo!$G$14,Param!$A$1:$H$1,0),0)*$C$6,VLOOKUP($C$4,Param!$A:$G,MATCH(Flujo!$G$14,Param!$A$1:$H$1,0),0)*Flujo!$L70))</f>
        <v>80750</v>
      </c>
      <c r="H70" s="23">
        <f t="shared" si="7"/>
        <v>1177872</v>
      </c>
      <c r="I70" s="23">
        <f t="shared" si="15"/>
        <v>6369276.552066125</v>
      </c>
      <c r="J70" s="23"/>
      <c r="K70" s="28">
        <f t="shared" si="16"/>
        <v>1177872</v>
      </c>
      <c r="L70" s="25">
        <f t="shared" si="9"/>
        <v>7466398.552066125</v>
      </c>
    </row>
    <row r="71" spans="2:12" s="15" customFormat="1" ht="15" x14ac:dyDescent="0.25">
      <c r="B71" s="15">
        <f t="shared" si="10"/>
        <v>55</v>
      </c>
      <c r="C71" s="25">
        <f t="shared" si="11"/>
        <v>1036613.8727553718</v>
      </c>
      <c r="D71" s="26">
        <f t="shared" si="12"/>
        <v>60508.127244628187</v>
      </c>
      <c r="E71" s="26">
        <f t="shared" si="13"/>
        <v>60508.127244628187</v>
      </c>
      <c r="F71" s="44">
        <f t="shared" si="14"/>
        <v>1097122</v>
      </c>
      <c r="G71" s="45">
        <f>IF(B71="","",IF($C$4=Param!$A$2,VLOOKUP($C$4,Param!$A:$G,MATCH(Flujo!$G$14,Param!$A$1:$H$1,0),0)*$C$6,VLOOKUP($C$4,Param!$A:$G,MATCH(Flujo!$G$14,Param!$A$1:$H$1,0),0)*Flujo!$L71))</f>
        <v>80750</v>
      </c>
      <c r="H71" s="23">
        <f t="shared" si="7"/>
        <v>1177872</v>
      </c>
      <c r="I71" s="23">
        <f t="shared" si="15"/>
        <v>5332662.679310753</v>
      </c>
      <c r="J71" s="23"/>
      <c r="K71" s="28">
        <f t="shared" si="16"/>
        <v>1177872</v>
      </c>
      <c r="L71" s="25">
        <f t="shared" si="9"/>
        <v>6429784.679310753</v>
      </c>
    </row>
    <row r="72" spans="2:12" s="15" customFormat="1" ht="15" x14ac:dyDescent="0.25">
      <c r="B72" s="15">
        <f t="shared" si="10"/>
        <v>56</v>
      </c>
      <c r="C72" s="25">
        <f t="shared" si="11"/>
        <v>1046461.7045465478</v>
      </c>
      <c r="D72" s="26">
        <f t="shared" si="12"/>
        <v>50660.295453452156</v>
      </c>
      <c r="E72" s="26">
        <f t="shared" si="13"/>
        <v>50660.295453452156</v>
      </c>
      <c r="F72" s="44">
        <f t="shared" si="14"/>
        <v>1097122</v>
      </c>
      <c r="G72" s="45">
        <f>IF(B72="","",IF($C$4=Param!$A$2,VLOOKUP($C$4,Param!$A:$G,MATCH(Flujo!$G$14,Param!$A$1:$H$1,0),0)*$C$6,VLOOKUP($C$4,Param!$A:$G,MATCH(Flujo!$G$14,Param!$A$1:$H$1,0),0)*Flujo!$L72))</f>
        <v>80750</v>
      </c>
      <c r="H72" s="23">
        <f t="shared" si="7"/>
        <v>1177872</v>
      </c>
      <c r="I72" s="23">
        <f t="shared" si="15"/>
        <v>4286200.9747642055</v>
      </c>
      <c r="J72" s="23"/>
      <c r="K72" s="28">
        <f t="shared" si="16"/>
        <v>1177872</v>
      </c>
      <c r="L72" s="25">
        <f t="shared" si="9"/>
        <v>5383322.9747642055</v>
      </c>
    </row>
    <row r="73" spans="2:12" s="15" customFormat="1" ht="15" x14ac:dyDescent="0.25">
      <c r="B73" s="15">
        <f t="shared" si="10"/>
        <v>57</v>
      </c>
      <c r="C73" s="25">
        <f t="shared" si="11"/>
        <v>1056403.0907397401</v>
      </c>
      <c r="D73" s="26">
        <f t="shared" si="12"/>
        <v>40718.909260259948</v>
      </c>
      <c r="E73" s="26">
        <f t="shared" si="13"/>
        <v>40718.909260259948</v>
      </c>
      <c r="F73" s="44">
        <f t="shared" si="14"/>
        <v>1097122</v>
      </c>
      <c r="G73" s="45">
        <f>IF(B73="","",IF($C$4=Param!$A$2,VLOOKUP($C$4,Param!$A:$G,MATCH(Flujo!$G$14,Param!$A$1:$H$1,0),0)*$C$6,VLOOKUP($C$4,Param!$A:$G,MATCH(Flujo!$G$14,Param!$A$1:$H$1,0),0)*Flujo!$L73))</f>
        <v>80750</v>
      </c>
      <c r="H73" s="23">
        <f t="shared" si="7"/>
        <v>1177872</v>
      </c>
      <c r="I73" s="23">
        <f t="shared" si="15"/>
        <v>3229797.8840244655</v>
      </c>
      <c r="J73" s="23"/>
      <c r="K73" s="28">
        <f t="shared" si="16"/>
        <v>1177872</v>
      </c>
      <c r="L73" s="25">
        <f t="shared" si="9"/>
        <v>4326919.8840244655</v>
      </c>
    </row>
    <row r="74" spans="2:12" s="15" customFormat="1" ht="15" x14ac:dyDescent="0.25">
      <c r="B74" s="15">
        <f t="shared" si="10"/>
        <v>58</v>
      </c>
      <c r="C74" s="25">
        <f t="shared" si="11"/>
        <v>1066438.9201017676</v>
      </c>
      <c r="D74" s="26">
        <f t="shared" si="12"/>
        <v>30683.07989823242</v>
      </c>
      <c r="E74" s="26">
        <f t="shared" si="13"/>
        <v>30683.07989823242</v>
      </c>
      <c r="F74" s="44">
        <f t="shared" si="14"/>
        <v>1097122</v>
      </c>
      <c r="G74" s="45">
        <f>IF(B74="","",IF($C$4=Param!$A$2,VLOOKUP($C$4,Param!$A:$G,MATCH(Flujo!$G$14,Param!$A$1:$H$1,0),0)*$C$6,VLOOKUP($C$4,Param!$A:$G,MATCH(Flujo!$G$14,Param!$A$1:$H$1,0),0)*Flujo!$L74))</f>
        <v>80750</v>
      </c>
      <c r="H74" s="23">
        <f t="shared" si="7"/>
        <v>1177872</v>
      </c>
      <c r="I74" s="23">
        <f t="shared" si="15"/>
        <v>2163358.9639226981</v>
      </c>
      <c r="J74" s="23"/>
      <c r="K74" s="28">
        <f t="shared" si="16"/>
        <v>1177872</v>
      </c>
      <c r="L74" s="25">
        <f t="shared" si="9"/>
        <v>3260480.9639226981</v>
      </c>
    </row>
    <row r="75" spans="2:12" s="15" customFormat="1" ht="15" x14ac:dyDescent="0.25">
      <c r="B75" s="15">
        <f t="shared" si="10"/>
        <v>59</v>
      </c>
      <c r="C75" s="25">
        <f t="shared" si="11"/>
        <v>1076570.0898427344</v>
      </c>
      <c r="D75" s="26">
        <f t="shared" si="12"/>
        <v>20551.910157265633</v>
      </c>
      <c r="E75" s="26">
        <f t="shared" si="13"/>
        <v>20551.910157265633</v>
      </c>
      <c r="F75" s="44">
        <f t="shared" si="14"/>
        <v>1097122</v>
      </c>
      <c r="G75" s="45">
        <f>IF(B75="","",IF($C$4=Param!$A$2,VLOOKUP($C$4,Param!$A:$G,MATCH(Flujo!$G$14,Param!$A$1:$H$1,0),0)*$C$6,VLOOKUP($C$4,Param!$A:$G,MATCH(Flujo!$G$14,Param!$A$1:$H$1,0),0)*Flujo!$L75))</f>
        <v>80750</v>
      </c>
      <c r="H75" s="23">
        <f t="shared" si="7"/>
        <v>1177872</v>
      </c>
      <c r="I75" s="23">
        <f t="shared" si="15"/>
        <v>1086788.8740799637</v>
      </c>
      <c r="J75" s="23"/>
      <c r="K75" s="28">
        <f t="shared" si="16"/>
        <v>1177872</v>
      </c>
      <c r="L75" s="25">
        <f t="shared" si="9"/>
        <v>2183910.8740799637</v>
      </c>
    </row>
    <row r="76" spans="2:12" s="15" customFormat="1" ht="15" x14ac:dyDescent="0.25">
      <c r="B76" s="15">
        <f t="shared" si="10"/>
        <v>60</v>
      </c>
      <c r="C76" s="25">
        <f t="shared" si="11"/>
        <v>1086788.8740799637</v>
      </c>
      <c r="D76" s="26">
        <f t="shared" si="12"/>
        <v>10324.494303759655</v>
      </c>
      <c r="E76" s="26">
        <f t="shared" si="13"/>
        <v>10324.494303759655</v>
      </c>
      <c r="F76" s="44">
        <f t="shared" si="14"/>
        <v>1097113.3683837233</v>
      </c>
      <c r="G76" s="45">
        <f>IF(B76="","",IF($C$4=Param!$A$2,VLOOKUP($C$4,Param!$A:$G,MATCH(Flujo!$G$14,Param!$A$1:$H$1,0),0)*$C$6,VLOOKUP($C$4,Param!$A:$G,MATCH(Flujo!$G$14,Param!$A$1:$H$1,0),0)*Flujo!$L76))</f>
        <v>80750</v>
      </c>
      <c r="H76" s="23">
        <f t="shared" si="7"/>
        <v>1177863</v>
      </c>
      <c r="I76" s="23">
        <f t="shared" si="15"/>
        <v>0</v>
      </c>
      <c r="J76" s="23"/>
      <c r="K76" s="28">
        <f t="shared" si="16"/>
        <v>1177863.3683837233</v>
      </c>
      <c r="L76" s="25">
        <f t="shared" si="9"/>
        <v>1097113.3683837233</v>
      </c>
    </row>
    <row r="77" spans="2:12" s="15" customFormat="1" ht="15" x14ac:dyDescent="0.25">
      <c r="B77" s="15" t="str">
        <f t="shared" si="10"/>
        <v/>
      </c>
      <c r="C77" s="25" t="str">
        <f t="shared" si="11"/>
        <v/>
      </c>
      <c r="D77" s="26" t="str">
        <f t="shared" si="12"/>
        <v/>
      </c>
      <c r="E77" s="26" t="str">
        <f t="shared" si="13"/>
        <v/>
      </c>
      <c r="F77" s="44" t="str">
        <f t="shared" si="14"/>
        <v/>
      </c>
      <c r="G77" s="45" t="str">
        <f>IF(B77="","",IF($C$4=Param!$A$2,VLOOKUP($C$4,Param!$A:$G,MATCH(Flujo!$G$14,Param!$A$1:$H$1,0),0)*$C$6,VLOOKUP($C$4,Param!$A:$G,MATCH(Flujo!$G$14,Param!$A$1:$H$1,0),0)*Flujo!$L77))</f>
        <v/>
      </c>
      <c r="H77" s="23" t="str">
        <f t="shared" si="7"/>
        <v/>
      </c>
      <c r="I77" s="23" t="str">
        <f t="shared" si="15"/>
        <v/>
      </c>
      <c r="J77" s="23"/>
      <c r="K77" s="28">
        <f t="shared" si="16"/>
        <v>0</v>
      </c>
      <c r="L77" s="25" t="str">
        <f t="shared" si="9"/>
        <v/>
      </c>
    </row>
    <row r="78" spans="2:12" s="15" customFormat="1" ht="15" x14ac:dyDescent="0.25">
      <c r="B78" s="15" t="str">
        <f t="shared" si="10"/>
        <v/>
      </c>
      <c r="C78" s="25" t="str">
        <f t="shared" si="11"/>
        <v/>
      </c>
      <c r="D78" s="26" t="str">
        <f t="shared" si="12"/>
        <v/>
      </c>
      <c r="E78" s="26" t="str">
        <f t="shared" si="13"/>
        <v/>
      </c>
      <c r="F78" s="44" t="str">
        <f t="shared" si="14"/>
        <v/>
      </c>
      <c r="G78" s="45" t="str">
        <f>IF(B78="","",IF($C$4=Param!$A$2,VLOOKUP($C$4,Param!$A:$G,MATCH(Flujo!$G$14,Param!$A$1:$H$1,0),0)*$C$6,VLOOKUP($C$4,Param!$A:$G,MATCH(Flujo!$G$14,Param!$A$1:$H$1,0),0)*Flujo!$L78))</f>
        <v/>
      </c>
      <c r="H78" s="23" t="str">
        <f t="shared" si="7"/>
        <v/>
      </c>
      <c r="I78" s="23" t="str">
        <f t="shared" si="15"/>
        <v/>
      </c>
      <c r="J78" s="23"/>
      <c r="K78" s="28">
        <f t="shared" si="16"/>
        <v>0</v>
      </c>
      <c r="L78" s="25" t="str">
        <f t="shared" si="9"/>
        <v/>
      </c>
    </row>
    <row r="79" spans="2:12" s="15" customFormat="1" ht="15" x14ac:dyDescent="0.25">
      <c r="B79" s="15" t="str">
        <f t="shared" si="10"/>
        <v/>
      </c>
      <c r="C79" s="25" t="str">
        <f t="shared" si="11"/>
        <v/>
      </c>
      <c r="D79" s="26" t="str">
        <f t="shared" si="12"/>
        <v/>
      </c>
      <c r="E79" s="26" t="str">
        <f t="shared" si="13"/>
        <v/>
      </c>
      <c r="F79" s="44" t="str">
        <f t="shared" si="14"/>
        <v/>
      </c>
      <c r="G79" s="45" t="str">
        <f>IF(B79="","",IF($C$4=Param!$A$2,VLOOKUP($C$4,Param!$A:$G,MATCH(Flujo!$G$14,Param!$A$1:$H$1,0),0)*$C$6,VLOOKUP($C$4,Param!$A:$G,MATCH(Flujo!$G$14,Param!$A$1:$H$1,0),0)*Flujo!$L79))</f>
        <v/>
      </c>
      <c r="H79" s="23" t="str">
        <f t="shared" si="7"/>
        <v/>
      </c>
      <c r="I79" s="23" t="str">
        <f t="shared" si="15"/>
        <v/>
      </c>
      <c r="J79" s="23"/>
      <c r="K79" s="28">
        <f t="shared" si="16"/>
        <v>0</v>
      </c>
      <c r="L79" s="25" t="str">
        <f t="shared" si="9"/>
        <v/>
      </c>
    </row>
    <row r="80" spans="2:12" s="15" customFormat="1" ht="15" x14ac:dyDescent="0.25">
      <c r="B80" s="15" t="str">
        <f t="shared" si="10"/>
        <v/>
      </c>
      <c r="C80" s="25" t="str">
        <f t="shared" si="11"/>
        <v/>
      </c>
      <c r="D80" s="26" t="str">
        <f t="shared" si="12"/>
        <v/>
      </c>
      <c r="E80" s="26" t="str">
        <f t="shared" si="13"/>
        <v/>
      </c>
      <c r="F80" s="44" t="str">
        <f t="shared" si="14"/>
        <v/>
      </c>
      <c r="G80" s="45" t="str">
        <f>IF(B80="","",IF($C$4=Param!$A$2,VLOOKUP($C$4,Param!$A:$G,MATCH(Flujo!$G$14,Param!$A$1:$H$1,0),0)*$C$6,VLOOKUP($C$4,Param!$A:$G,MATCH(Flujo!$G$14,Param!$A$1:$H$1,0),0)*Flujo!$L80))</f>
        <v/>
      </c>
      <c r="H80" s="23" t="str">
        <f t="shared" si="7"/>
        <v/>
      </c>
      <c r="I80" s="23" t="str">
        <f t="shared" si="15"/>
        <v/>
      </c>
      <c r="J80" s="23"/>
      <c r="K80" s="28">
        <f t="shared" si="16"/>
        <v>0</v>
      </c>
      <c r="L80" s="25" t="str">
        <f t="shared" si="9"/>
        <v/>
      </c>
    </row>
    <row r="81" spans="2:12" s="15" customFormat="1" ht="15" x14ac:dyDescent="0.25">
      <c r="B81" s="15" t="str">
        <f t="shared" ref="B81:B112" si="17">IF(B80&gt;=$C$9,"",IF(I80=0,"",B80+1))</f>
        <v/>
      </c>
      <c r="C81" s="25" t="str">
        <f t="shared" ref="C81:C112" si="18">IF(B81="","",IF(B81=$C$9,I80,cuota-D81))</f>
        <v/>
      </c>
      <c r="D81" s="26" t="str">
        <f t="shared" ref="D81:D112" si="19">(IF(I80&lt;0,0,IF(B81&lt;=$C$9,$I80*$C$12,"")))</f>
        <v/>
      </c>
      <c r="E81" s="26" t="str">
        <f t="shared" ref="E81:E112" si="20">IF(B81="","",SUM(D81:D81))</f>
        <v/>
      </c>
      <c r="F81" s="44" t="str">
        <f t="shared" ref="F81:F112" si="21">IF(B81=$C$9,D81+C81,IF(B81="","",cuota))</f>
        <v/>
      </c>
      <c r="G81" s="45" t="str">
        <f>IF(B81="","",IF($C$4=Param!$A$2,VLOOKUP($C$4,Param!$A:$G,MATCH(Flujo!$G$14,Param!$A$1:$H$1,0),0)*$C$6,VLOOKUP($C$4,Param!$A:$G,MATCH(Flujo!$G$14,Param!$A$1:$H$1,0),0)*Flujo!$L81))</f>
        <v/>
      </c>
      <c r="H81" s="23" t="str">
        <f t="shared" si="7"/>
        <v/>
      </c>
      <c r="I81" s="23" t="str">
        <f t="shared" ref="I81:I112" si="22">IF(B81&lt;=$C$9,(I80-C81),"")</f>
        <v/>
      </c>
      <c r="J81" s="23"/>
      <c r="K81" s="28">
        <f t="shared" ref="K81:K112" si="23">SUM(F81:G81)</f>
        <v>0</v>
      </c>
      <c r="L81" s="25" t="str">
        <f t="shared" si="9"/>
        <v/>
      </c>
    </row>
    <row r="82" spans="2:12" s="15" customFormat="1" ht="15" x14ac:dyDescent="0.25">
      <c r="B82" s="15" t="str">
        <f t="shared" si="17"/>
        <v/>
      </c>
      <c r="C82" s="25" t="str">
        <f t="shared" si="18"/>
        <v/>
      </c>
      <c r="D82" s="26" t="str">
        <f t="shared" si="19"/>
        <v/>
      </c>
      <c r="E82" s="26" t="str">
        <f t="shared" si="20"/>
        <v/>
      </c>
      <c r="F82" s="44" t="str">
        <f t="shared" si="21"/>
        <v/>
      </c>
      <c r="G82" s="45" t="str">
        <f>IF(B82="","",IF($C$4=Param!$A$2,VLOOKUP($C$4,Param!$A:$G,MATCH(Flujo!$G$14,Param!$A$1:$H$1,0),0)*$C$6,VLOOKUP($C$4,Param!$A:$G,MATCH(Flujo!$G$14,Param!$A$1:$H$1,0),0)*Flujo!$L82))</f>
        <v/>
      </c>
      <c r="H82" s="23" t="str">
        <f t="shared" ref="H82:H136" si="24">IF($B82&lt;=$C$9,ROUND(F82+G82,0),"")</f>
        <v/>
      </c>
      <c r="I82" s="23" t="str">
        <f t="shared" si="22"/>
        <v/>
      </c>
      <c r="J82" s="23"/>
      <c r="K82" s="28">
        <f t="shared" si="23"/>
        <v>0</v>
      </c>
      <c r="L82" s="25" t="str">
        <f t="shared" ref="L82:L136" si="25">IF(B82="","",+I81+E82)</f>
        <v/>
      </c>
    </row>
    <row r="83" spans="2:12" s="15" customFormat="1" ht="15" x14ac:dyDescent="0.25">
      <c r="B83" s="15" t="str">
        <f t="shared" si="17"/>
        <v/>
      </c>
      <c r="C83" s="25" t="str">
        <f t="shared" si="18"/>
        <v/>
      </c>
      <c r="D83" s="26" t="str">
        <f t="shared" si="19"/>
        <v/>
      </c>
      <c r="E83" s="26" t="str">
        <f t="shared" si="20"/>
        <v/>
      </c>
      <c r="F83" s="44" t="str">
        <f t="shared" si="21"/>
        <v/>
      </c>
      <c r="G83" s="45" t="str">
        <f>IF(B83="","",IF($C$4=Param!$A$2,VLOOKUP($C$4,Param!$A:$G,MATCH(Flujo!$G$14,Param!$A$1:$H$1,0),0)*$C$6,VLOOKUP($C$4,Param!$A:$G,MATCH(Flujo!$G$14,Param!$A$1:$H$1,0),0)*Flujo!$L83))</f>
        <v/>
      </c>
      <c r="H83" s="23" t="str">
        <f t="shared" si="24"/>
        <v/>
      </c>
      <c r="I83" s="23" t="str">
        <f t="shared" si="22"/>
        <v/>
      </c>
      <c r="J83" s="23"/>
      <c r="K83" s="28">
        <f t="shared" si="23"/>
        <v>0</v>
      </c>
      <c r="L83" s="25" t="str">
        <f t="shared" si="25"/>
        <v/>
      </c>
    </row>
    <row r="84" spans="2:12" s="15" customFormat="1" ht="15" x14ac:dyDescent="0.25">
      <c r="B84" s="15" t="str">
        <f t="shared" si="17"/>
        <v/>
      </c>
      <c r="C84" s="25" t="str">
        <f t="shared" si="18"/>
        <v/>
      </c>
      <c r="D84" s="26" t="str">
        <f t="shared" si="19"/>
        <v/>
      </c>
      <c r="E84" s="26" t="str">
        <f t="shared" si="20"/>
        <v/>
      </c>
      <c r="F84" s="44" t="str">
        <f t="shared" si="21"/>
        <v/>
      </c>
      <c r="G84" s="45" t="str">
        <f>IF(B84="","",IF($C$4=Param!$A$2,VLOOKUP($C$4,Param!$A:$G,MATCH(Flujo!$G$14,Param!$A$1:$H$1,0),0)*$C$6,VLOOKUP($C$4,Param!$A:$G,MATCH(Flujo!$G$14,Param!$A$1:$H$1,0),0)*Flujo!$L84))</f>
        <v/>
      </c>
      <c r="H84" s="23" t="str">
        <f t="shared" si="24"/>
        <v/>
      </c>
      <c r="I84" s="23" t="str">
        <f t="shared" si="22"/>
        <v/>
      </c>
      <c r="J84" s="23"/>
      <c r="K84" s="28">
        <f t="shared" si="23"/>
        <v>0</v>
      </c>
      <c r="L84" s="25" t="str">
        <f t="shared" si="25"/>
        <v/>
      </c>
    </row>
    <row r="85" spans="2:12" s="15" customFormat="1" ht="15" x14ac:dyDescent="0.25">
      <c r="B85" s="15" t="str">
        <f t="shared" si="17"/>
        <v/>
      </c>
      <c r="C85" s="25" t="str">
        <f t="shared" si="18"/>
        <v/>
      </c>
      <c r="D85" s="26" t="str">
        <f t="shared" si="19"/>
        <v/>
      </c>
      <c r="E85" s="26" t="str">
        <f t="shared" si="20"/>
        <v/>
      </c>
      <c r="F85" s="44" t="str">
        <f t="shared" si="21"/>
        <v/>
      </c>
      <c r="G85" s="45" t="str">
        <f>IF(B85="","",IF($C$4=Param!$A$2,VLOOKUP($C$4,Param!$A:$G,MATCH(Flujo!$G$14,Param!$A$1:$H$1,0),0)*$C$6,VLOOKUP($C$4,Param!$A:$G,MATCH(Flujo!$G$14,Param!$A$1:$H$1,0),0)*Flujo!$L85))</f>
        <v/>
      </c>
      <c r="H85" s="23" t="str">
        <f t="shared" si="24"/>
        <v/>
      </c>
      <c r="I85" s="23" t="str">
        <f t="shared" si="22"/>
        <v/>
      </c>
      <c r="J85" s="23"/>
      <c r="K85" s="28">
        <f t="shared" si="23"/>
        <v>0</v>
      </c>
      <c r="L85" s="25" t="str">
        <f t="shared" si="25"/>
        <v/>
      </c>
    </row>
    <row r="86" spans="2:12" s="15" customFormat="1" ht="15" x14ac:dyDescent="0.25">
      <c r="B86" s="15" t="str">
        <f t="shared" si="17"/>
        <v/>
      </c>
      <c r="C86" s="25" t="str">
        <f t="shared" si="18"/>
        <v/>
      </c>
      <c r="D86" s="26" t="str">
        <f t="shared" si="19"/>
        <v/>
      </c>
      <c r="E86" s="26" t="str">
        <f t="shared" si="20"/>
        <v/>
      </c>
      <c r="F86" s="44" t="str">
        <f t="shared" si="21"/>
        <v/>
      </c>
      <c r="G86" s="45" t="str">
        <f>IF(B86="","",IF($C$4=Param!$A$2,VLOOKUP($C$4,Param!$A:$G,MATCH(Flujo!$G$14,Param!$A$1:$H$1,0),0)*$C$6,VLOOKUP($C$4,Param!$A:$G,MATCH(Flujo!$G$14,Param!$A$1:$H$1,0),0)*Flujo!$L86))</f>
        <v/>
      </c>
      <c r="H86" s="23" t="str">
        <f t="shared" si="24"/>
        <v/>
      </c>
      <c r="I86" s="23" t="str">
        <f t="shared" si="22"/>
        <v/>
      </c>
      <c r="J86" s="23"/>
      <c r="K86" s="28">
        <f t="shared" si="23"/>
        <v>0</v>
      </c>
      <c r="L86" s="25" t="str">
        <f t="shared" si="25"/>
        <v/>
      </c>
    </row>
    <row r="87" spans="2:12" s="15" customFormat="1" ht="15" x14ac:dyDescent="0.25">
      <c r="B87" s="15" t="str">
        <f t="shared" si="17"/>
        <v/>
      </c>
      <c r="C87" s="25" t="str">
        <f t="shared" si="18"/>
        <v/>
      </c>
      <c r="D87" s="26" t="str">
        <f t="shared" si="19"/>
        <v/>
      </c>
      <c r="E87" s="26" t="str">
        <f t="shared" si="20"/>
        <v/>
      </c>
      <c r="F87" s="44" t="str">
        <f t="shared" si="21"/>
        <v/>
      </c>
      <c r="G87" s="45" t="str">
        <f>IF(B87="","",IF($C$4=Param!$A$2,VLOOKUP($C$4,Param!$A:$G,MATCH(Flujo!$G$14,Param!$A$1:$H$1,0),0)*$C$6,VLOOKUP($C$4,Param!$A:$G,MATCH(Flujo!$G$14,Param!$A$1:$H$1,0),0)*Flujo!$L87))</f>
        <v/>
      </c>
      <c r="H87" s="23" t="str">
        <f t="shared" si="24"/>
        <v/>
      </c>
      <c r="I87" s="23" t="str">
        <f t="shared" si="22"/>
        <v/>
      </c>
      <c r="J87" s="23"/>
      <c r="K87" s="28">
        <f t="shared" si="23"/>
        <v>0</v>
      </c>
      <c r="L87" s="25" t="str">
        <f t="shared" si="25"/>
        <v/>
      </c>
    </row>
    <row r="88" spans="2:12" s="15" customFormat="1" ht="15" x14ac:dyDescent="0.25">
      <c r="B88" s="15" t="str">
        <f t="shared" si="17"/>
        <v/>
      </c>
      <c r="C88" s="25" t="str">
        <f t="shared" si="18"/>
        <v/>
      </c>
      <c r="D88" s="26" t="str">
        <f t="shared" si="19"/>
        <v/>
      </c>
      <c r="E88" s="26" t="str">
        <f t="shared" si="20"/>
        <v/>
      </c>
      <c r="F88" s="44" t="str">
        <f t="shared" si="21"/>
        <v/>
      </c>
      <c r="G88" s="45" t="str">
        <f>IF(B88="","",IF($C$4=Param!$A$2,VLOOKUP($C$4,Param!$A:$G,MATCH(Flujo!$G$14,Param!$A$1:$H$1,0),0)*$C$6,VLOOKUP($C$4,Param!$A:$G,MATCH(Flujo!$G$14,Param!$A$1:$H$1,0),0)*Flujo!$L88))</f>
        <v/>
      </c>
      <c r="H88" s="23" t="str">
        <f t="shared" si="24"/>
        <v/>
      </c>
      <c r="I88" s="23" t="str">
        <f t="shared" si="22"/>
        <v/>
      </c>
      <c r="J88" s="23"/>
      <c r="K88" s="28">
        <f t="shared" si="23"/>
        <v>0</v>
      </c>
      <c r="L88" s="25" t="str">
        <f t="shared" si="25"/>
        <v/>
      </c>
    </row>
    <row r="89" spans="2:12" s="15" customFormat="1" ht="15" x14ac:dyDescent="0.25">
      <c r="B89" s="15" t="str">
        <f t="shared" si="17"/>
        <v/>
      </c>
      <c r="C89" s="25" t="str">
        <f t="shared" si="18"/>
        <v/>
      </c>
      <c r="D89" s="26" t="str">
        <f t="shared" si="19"/>
        <v/>
      </c>
      <c r="E89" s="26" t="str">
        <f t="shared" si="20"/>
        <v/>
      </c>
      <c r="F89" s="44" t="str">
        <f t="shared" si="21"/>
        <v/>
      </c>
      <c r="G89" s="45" t="str">
        <f>IF(B89="","",IF($C$4=Param!$A$2,VLOOKUP($C$4,Param!$A:$G,MATCH(Flujo!$G$14,Param!$A$1:$H$1,0),0)*$C$6,VLOOKUP($C$4,Param!$A:$G,MATCH(Flujo!$G$14,Param!$A$1:$H$1,0),0)*Flujo!$L89))</f>
        <v/>
      </c>
      <c r="H89" s="23" t="str">
        <f t="shared" si="24"/>
        <v/>
      </c>
      <c r="I89" s="23" t="str">
        <f t="shared" si="22"/>
        <v/>
      </c>
      <c r="J89" s="23"/>
      <c r="K89" s="28">
        <f t="shared" si="23"/>
        <v>0</v>
      </c>
      <c r="L89" s="25" t="str">
        <f t="shared" si="25"/>
        <v/>
      </c>
    </row>
    <row r="90" spans="2:12" s="15" customFormat="1" ht="15" x14ac:dyDescent="0.25">
      <c r="B90" s="15" t="str">
        <f t="shared" si="17"/>
        <v/>
      </c>
      <c r="C90" s="25" t="str">
        <f t="shared" si="18"/>
        <v/>
      </c>
      <c r="D90" s="26" t="str">
        <f t="shared" si="19"/>
        <v/>
      </c>
      <c r="E90" s="26" t="str">
        <f t="shared" si="20"/>
        <v/>
      </c>
      <c r="F90" s="44" t="str">
        <f t="shared" si="21"/>
        <v/>
      </c>
      <c r="G90" s="45" t="str">
        <f>IF(B90="","",IF($C$4=Param!$A$2,VLOOKUP($C$4,Param!$A:$G,MATCH(Flujo!$G$14,Param!$A$1:$H$1,0),0)*$C$6,VLOOKUP($C$4,Param!$A:$G,MATCH(Flujo!$G$14,Param!$A$1:$H$1,0),0)*Flujo!$L90))</f>
        <v/>
      </c>
      <c r="H90" s="23" t="str">
        <f t="shared" si="24"/>
        <v/>
      </c>
      <c r="I90" s="23" t="str">
        <f t="shared" si="22"/>
        <v/>
      </c>
      <c r="J90" s="23"/>
      <c r="K90" s="28">
        <f t="shared" si="23"/>
        <v>0</v>
      </c>
      <c r="L90" s="25" t="str">
        <f t="shared" si="25"/>
        <v/>
      </c>
    </row>
    <row r="91" spans="2:12" s="15" customFormat="1" ht="15" x14ac:dyDescent="0.25">
      <c r="B91" s="15" t="str">
        <f t="shared" si="17"/>
        <v/>
      </c>
      <c r="C91" s="25" t="str">
        <f t="shared" si="18"/>
        <v/>
      </c>
      <c r="D91" s="26" t="str">
        <f t="shared" si="19"/>
        <v/>
      </c>
      <c r="E91" s="26" t="str">
        <f t="shared" si="20"/>
        <v/>
      </c>
      <c r="F91" s="44" t="str">
        <f t="shared" si="21"/>
        <v/>
      </c>
      <c r="G91" s="45" t="str">
        <f>IF(B91="","",IF($C$4=Param!$A$2,VLOOKUP($C$4,Param!$A:$G,MATCH(Flujo!$G$14,Param!$A$1:$H$1,0),0)*$C$6,VLOOKUP($C$4,Param!$A:$G,MATCH(Flujo!$G$14,Param!$A$1:$H$1,0),0)*Flujo!$L91))</f>
        <v/>
      </c>
      <c r="H91" s="23" t="str">
        <f t="shared" si="24"/>
        <v/>
      </c>
      <c r="I91" s="23" t="str">
        <f t="shared" si="22"/>
        <v/>
      </c>
      <c r="J91" s="23"/>
      <c r="K91" s="28">
        <f t="shared" si="23"/>
        <v>0</v>
      </c>
      <c r="L91" s="25" t="str">
        <f t="shared" si="25"/>
        <v/>
      </c>
    </row>
    <row r="92" spans="2:12" s="15" customFormat="1" ht="15" x14ac:dyDescent="0.25">
      <c r="B92" s="15" t="str">
        <f t="shared" si="17"/>
        <v/>
      </c>
      <c r="C92" s="25" t="str">
        <f t="shared" si="18"/>
        <v/>
      </c>
      <c r="D92" s="26" t="str">
        <f t="shared" si="19"/>
        <v/>
      </c>
      <c r="E92" s="26" t="str">
        <f t="shared" si="20"/>
        <v/>
      </c>
      <c r="F92" s="44" t="str">
        <f t="shared" si="21"/>
        <v/>
      </c>
      <c r="G92" s="45" t="str">
        <f>IF(B92="","",IF($C$4=Param!$A$2,VLOOKUP($C$4,Param!$A:$G,MATCH(Flujo!$G$14,Param!$A$1:$H$1,0),0)*$C$6,VLOOKUP($C$4,Param!$A:$G,MATCH(Flujo!$G$14,Param!$A$1:$H$1,0),0)*Flujo!$L92))</f>
        <v/>
      </c>
      <c r="H92" s="23" t="str">
        <f t="shared" si="24"/>
        <v/>
      </c>
      <c r="I92" s="23" t="str">
        <f t="shared" si="22"/>
        <v/>
      </c>
      <c r="J92" s="23"/>
      <c r="K92" s="28">
        <f t="shared" si="23"/>
        <v>0</v>
      </c>
      <c r="L92" s="25" t="str">
        <f t="shared" si="25"/>
        <v/>
      </c>
    </row>
    <row r="93" spans="2:12" s="15" customFormat="1" ht="15" x14ac:dyDescent="0.25">
      <c r="B93" s="15" t="str">
        <f t="shared" si="17"/>
        <v/>
      </c>
      <c r="C93" s="25" t="str">
        <f t="shared" si="18"/>
        <v/>
      </c>
      <c r="D93" s="26" t="str">
        <f t="shared" si="19"/>
        <v/>
      </c>
      <c r="E93" s="26" t="str">
        <f t="shared" si="20"/>
        <v/>
      </c>
      <c r="F93" s="44" t="str">
        <f t="shared" si="21"/>
        <v/>
      </c>
      <c r="G93" s="45" t="str">
        <f>IF(B93="","",IF($C$4=Param!$A$2,VLOOKUP($C$4,Param!$A:$G,MATCH(Flujo!$G$14,Param!$A$1:$H$1,0),0)*$C$6,VLOOKUP($C$4,Param!$A:$G,MATCH(Flujo!$G$14,Param!$A$1:$H$1,0),0)*Flujo!$L93))</f>
        <v/>
      </c>
      <c r="H93" s="23" t="str">
        <f t="shared" si="24"/>
        <v/>
      </c>
      <c r="I93" s="23" t="str">
        <f t="shared" si="22"/>
        <v/>
      </c>
      <c r="J93" s="23"/>
      <c r="K93" s="28">
        <f t="shared" si="23"/>
        <v>0</v>
      </c>
      <c r="L93" s="25" t="str">
        <f t="shared" si="25"/>
        <v/>
      </c>
    </row>
    <row r="94" spans="2:12" s="15" customFormat="1" ht="15" x14ac:dyDescent="0.25">
      <c r="B94" s="15" t="str">
        <f t="shared" si="17"/>
        <v/>
      </c>
      <c r="C94" s="25" t="str">
        <f t="shared" si="18"/>
        <v/>
      </c>
      <c r="D94" s="26" t="str">
        <f t="shared" si="19"/>
        <v/>
      </c>
      <c r="E94" s="26" t="str">
        <f t="shared" si="20"/>
        <v/>
      </c>
      <c r="F94" s="44" t="str">
        <f t="shared" si="21"/>
        <v/>
      </c>
      <c r="G94" s="45" t="str">
        <f>IF(B94="","",IF($C$4=Param!$A$2,VLOOKUP($C$4,Param!$A:$G,MATCH(Flujo!$G$14,Param!$A$1:$H$1,0),0)*$C$6,VLOOKUP($C$4,Param!$A:$G,MATCH(Flujo!$G$14,Param!$A$1:$H$1,0),0)*Flujo!$L94))</f>
        <v/>
      </c>
      <c r="H94" s="23" t="str">
        <f t="shared" si="24"/>
        <v/>
      </c>
      <c r="I94" s="23" t="str">
        <f t="shared" si="22"/>
        <v/>
      </c>
      <c r="J94" s="23"/>
      <c r="K94" s="28">
        <f t="shared" si="23"/>
        <v>0</v>
      </c>
      <c r="L94" s="25" t="str">
        <f t="shared" si="25"/>
        <v/>
      </c>
    </row>
    <row r="95" spans="2:12" s="15" customFormat="1" ht="15" x14ac:dyDescent="0.25">
      <c r="B95" s="15" t="str">
        <f t="shared" si="17"/>
        <v/>
      </c>
      <c r="C95" s="25" t="str">
        <f t="shared" si="18"/>
        <v/>
      </c>
      <c r="D95" s="26" t="str">
        <f t="shared" si="19"/>
        <v/>
      </c>
      <c r="E95" s="26" t="str">
        <f t="shared" si="20"/>
        <v/>
      </c>
      <c r="F95" s="44" t="str">
        <f t="shared" si="21"/>
        <v/>
      </c>
      <c r="G95" s="45" t="str">
        <f>IF(B95="","",IF($C$4=Param!$A$2,VLOOKUP($C$4,Param!$A:$G,MATCH(Flujo!$G$14,Param!$A$1:$H$1,0),0)*$C$6,VLOOKUP($C$4,Param!$A:$G,MATCH(Flujo!$G$14,Param!$A$1:$H$1,0),0)*Flujo!$L95))</f>
        <v/>
      </c>
      <c r="H95" s="23" t="str">
        <f t="shared" si="24"/>
        <v/>
      </c>
      <c r="I95" s="23" t="str">
        <f t="shared" si="22"/>
        <v/>
      </c>
      <c r="J95" s="23"/>
      <c r="K95" s="28">
        <f t="shared" si="23"/>
        <v>0</v>
      </c>
      <c r="L95" s="25" t="str">
        <f t="shared" si="25"/>
        <v/>
      </c>
    </row>
    <row r="96" spans="2:12" s="15" customFormat="1" ht="15" x14ac:dyDescent="0.25">
      <c r="B96" s="15" t="str">
        <f t="shared" si="17"/>
        <v/>
      </c>
      <c r="C96" s="25" t="str">
        <f t="shared" si="18"/>
        <v/>
      </c>
      <c r="D96" s="26" t="str">
        <f t="shared" si="19"/>
        <v/>
      </c>
      <c r="E96" s="26" t="str">
        <f t="shared" si="20"/>
        <v/>
      </c>
      <c r="F96" s="44" t="str">
        <f t="shared" si="21"/>
        <v/>
      </c>
      <c r="G96" s="45" t="str">
        <f>IF(B96="","",IF($C$4=Param!$A$2,VLOOKUP($C$4,Param!$A:$G,MATCH(Flujo!$G$14,Param!$A$1:$H$1,0),0)*$C$6,VLOOKUP($C$4,Param!$A:$G,MATCH(Flujo!$G$14,Param!$A$1:$H$1,0),0)*Flujo!$L96))</f>
        <v/>
      </c>
      <c r="H96" s="23" t="str">
        <f t="shared" si="24"/>
        <v/>
      </c>
      <c r="I96" s="23" t="str">
        <f t="shared" si="22"/>
        <v/>
      </c>
      <c r="J96" s="23"/>
      <c r="K96" s="28">
        <f t="shared" si="23"/>
        <v>0</v>
      </c>
      <c r="L96" s="25" t="str">
        <f t="shared" si="25"/>
        <v/>
      </c>
    </row>
    <row r="97" spans="2:12" s="15" customFormat="1" ht="15" x14ac:dyDescent="0.25">
      <c r="B97" s="15" t="str">
        <f t="shared" si="17"/>
        <v/>
      </c>
      <c r="C97" s="25" t="str">
        <f t="shared" si="18"/>
        <v/>
      </c>
      <c r="D97" s="26" t="str">
        <f t="shared" si="19"/>
        <v/>
      </c>
      <c r="E97" s="26" t="str">
        <f t="shared" si="20"/>
        <v/>
      </c>
      <c r="F97" s="44" t="str">
        <f t="shared" si="21"/>
        <v/>
      </c>
      <c r="G97" s="45" t="str">
        <f>IF(B97="","",IF($C$4=Param!$A$2,VLOOKUP($C$4,Param!$A:$G,MATCH(Flujo!$G$14,Param!$A$1:$H$1,0),0)*$C$6,VLOOKUP($C$4,Param!$A:$G,MATCH(Flujo!$G$14,Param!$A$1:$H$1,0),0)*Flujo!$L97))</f>
        <v/>
      </c>
      <c r="H97" s="23" t="str">
        <f t="shared" si="24"/>
        <v/>
      </c>
      <c r="I97" s="23" t="str">
        <f t="shared" si="22"/>
        <v/>
      </c>
      <c r="J97" s="23"/>
      <c r="K97" s="28">
        <f t="shared" si="23"/>
        <v>0</v>
      </c>
      <c r="L97" s="25" t="str">
        <f t="shared" si="25"/>
        <v/>
      </c>
    </row>
    <row r="98" spans="2:12" s="15" customFormat="1" ht="15" x14ac:dyDescent="0.25">
      <c r="B98" s="15" t="str">
        <f t="shared" si="17"/>
        <v/>
      </c>
      <c r="C98" s="25" t="str">
        <f t="shared" si="18"/>
        <v/>
      </c>
      <c r="D98" s="26" t="str">
        <f t="shared" si="19"/>
        <v/>
      </c>
      <c r="E98" s="26" t="str">
        <f t="shared" si="20"/>
        <v/>
      </c>
      <c r="F98" s="44" t="str">
        <f t="shared" si="21"/>
        <v/>
      </c>
      <c r="G98" s="45" t="str">
        <f>IF(B98="","",IF($C$4=Param!$A$2,VLOOKUP($C$4,Param!$A:$G,MATCH(Flujo!$G$14,Param!$A$1:$H$1,0),0)*$C$6,VLOOKUP($C$4,Param!$A:$G,MATCH(Flujo!$G$14,Param!$A$1:$H$1,0),0)*Flujo!$L98))</f>
        <v/>
      </c>
      <c r="H98" s="23" t="str">
        <f t="shared" si="24"/>
        <v/>
      </c>
      <c r="I98" s="23" t="str">
        <f t="shared" si="22"/>
        <v/>
      </c>
      <c r="J98" s="23"/>
      <c r="K98" s="28">
        <f t="shared" si="23"/>
        <v>0</v>
      </c>
      <c r="L98" s="25" t="str">
        <f t="shared" si="25"/>
        <v/>
      </c>
    </row>
    <row r="99" spans="2:12" s="15" customFormat="1" ht="15" x14ac:dyDescent="0.25">
      <c r="B99" s="15" t="str">
        <f t="shared" si="17"/>
        <v/>
      </c>
      <c r="C99" s="25" t="str">
        <f t="shared" si="18"/>
        <v/>
      </c>
      <c r="D99" s="26" t="str">
        <f t="shared" si="19"/>
        <v/>
      </c>
      <c r="E99" s="26" t="str">
        <f t="shared" si="20"/>
        <v/>
      </c>
      <c r="F99" s="44" t="str">
        <f t="shared" si="21"/>
        <v/>
      </c>
      <c r="G99" s="45" t="str">
        <f>IF(B99="","",IF($C$4=Param!$A$2,VLOOKUP($C$4,Param!$A:$G,MATCH(Flujo!$G$14,Param!$A$1:$H$1,0),0)*$C$6,VLOOKUP($C$4,Param!$A:$G,MATCH(Flujo!$G$14,Param!$A$1:$H$1,0),0)*Flujo!$L99))</f>
        <v/>
      </c>
      <c r="H99" s="23" t="str">
        <f t="shared" si="24"/>
        <v/>
      </c>
      <c r="I99" s="23" t="str">
        <f t="shared" si="22"/>
        <v/>
      </c>
      <c r="J99" s="23"/>
      <c r="K99" s="28">
        <f t="shared" si="23"/>
        <v>0</v>
      </c>
      <c r="L99" s="25" t="str">
        <f t="shared" si="25"/>
        <v/>
      </c>
    </row>
    <row r="100" spans="2:12" s="15" customFormat="1" ht="15" x14ac:dyDescent="0.25">
      <c r="B100" s="15" t="str">
        <f t="shared" si="17"/>
        <v/>
      </c>
      <c r="C100" s="25" t="str">
        <f t="shared" si="18"/>
        <v/>
      </c>
      <c r="D100" s="26" t="str">
        <f t="shared" si="19"/>
        <v/>
      </c>
      <c r="E100" s="26" t="str">
        <f t="shared" si="20"/>
        <v/>
      </c>
      <c r="F100" s="44" t="str">
        <f t="shared" si="21"/>
        <v/>
      </c>
      <c r="G100" s="45" t="str">
        <f>IF(B100="","",IF($C$4=Param!$A$2,VLOOKUP($C$4,Param!$A:$G,MATCH(Flujo!$G$14,Param!$A$1:$H$1,0),0)*$C$6,VLOOKUP($C$4,Param!$A:$G,MATCH(Flujo!$G$14,Param!$A$1:$H$1,0),0)*Flujo!$L100))</f>
        <v/>
      </c>
      <c r="H100" s="23" t="str">
        <f t="shared" si="24"/>
        <v/>
      </c>
      <c r="I100" s="23" t="str">
        <f t="shared" si="22"/>
        <v/>
      </c>
      <c r="J100" s="23"/>
      <c r="K100" s="28">
        <f t="shared" si="23"/>
        <v>0</v>
      </c>
      <c r="L100" s="25" t="str">
        <f t="shared" si="25"/>
        <v/>
      </c>
    </row>
    <row r="101" spans="2:12" s="15" customFormat="1" ht="15" x14ac:dyDescent="0.25">
      <c r="B101" s="15" t="str">
        <f t="shared" si="17"/>
        <v/>
      </c>
      <c r="C101" s="25" t="str">
        <f t="shared" si="18"/>
        <v/>
      </c>
      <c r="D101" s="26" t="str">
        <f t="shared" si="19"/>
        <v/>
      </c>
      <c r="E101" s="26" t="str">
        <f t="shared" si="20"/>
        <v/>
      </c>
      <c r="F101" s="44" t="str">
        <f t="shared" si="21"/>
        <v/>
      </c>
      <c r="G101" s="45" t="str">
        <f>IF(B101="","",IF($C$4=Param!$A$2,VLOOKUP($C$4,Param!$A:$G,MATCH(Flujo!$G$14,Param!$A$1:$H$1,0),0)*$C$6,VLOOKUP($C$4,Param!$A:$G,MATCH(Flujo!$G$14,Param!$A$1:$H$1,0),0)*Flujo!$L101))</f>
        <v/>
      </c>
      <c r="H101" s="23" t="str">
        <f t="shared" si="24"/>
        <v/>
      </c>
      <c r="I101" s="23" t="str">
        <f t="shared" si="22"/>
        <v/>
      </c>
      <c r="J101" s="23"/>
      <c r="K101" s="28">
        <f t="shared" si="23"/>
        <v>0</v>
      </c>
      <c r="L101" s="25" t="str">
        <f t="shared" si="25"/>
        <v/>
      </c>
    </row>
    <row r="102" spans="2:12" s="15" customFormat="1" ht="15" x14ac:dyDescent="0.25">
      <c r="B102" s="15" t="str">
        <f t="shared" si="17"/>
        <v/>
      </c>
      <c r="C102" s="25" t="str">
        <f t="shared" si="18"/>
        <v/>
      </c>
      <c r="D102" s="26" t="str">
        <f t="shared" si="19"/>
        <v/>
      </c>
      <c r="E102" s="26" t="str">
        <f t="shared" si="20"/>
        <v/>
      </c>
      <c r="F102" s="44" t="str">
        <f t="shared" si="21"/>
        <v/>
      </c>
      <c r="G102" s="45" t="str">
        <f>IF(B102="","",IF($C$4=Param!$A$2,VLOOKUP($C$4,Param!$A:$G,MATCH(Flujo!$G$14,Param!$A$1:$H$1,0),0)*$C$6,VLOOKUP($C$4,Param!$A:$G,MATCH(Flujo!$G$14,Param!$A$1:$H$1,0),0)*Flujo!$L102))</f>
        <v/>
      </c>
      <c r="H102" s="23" t="str">
        <f t="shared" si="24"/>
        <v/>
      </c>
      <c r="I102" s="23" t="str">
        <f t="shared" si="22"/>
        <v/>
      </c>
      <c r="J102" s="23"/>
      <c r="K102" s="28">
        <f t="shared" si="23"/>
        <v>0</v>
      </c>
      <c r="L102" s="25" t="str">
        <f t="shared" si="25"/>
        <v/>
      </c>
    </row>
    <row r="103" spans="2:12" s="15" customFormat="1" ht="15" x14ac:dyDescent="0.25">
      <c r="B103" s="15" t="str">
        <f t="shared" si="17"/>
        <v/>
      </c>
      <c r="C103" s="25" t="str">
        <f t="shared" si="18"/>
        <v/>
      </c>
      <c r="D103" s="26" t="str">
        <f t="shared" si="19"/>
        <v/>
      </c>
      <c r="E103" s="26" t="str">
        <f t="shared" si="20"/>
        <v/>
      </c>
      <c r="F103" s="44" t="str">
        <f t="shared" si="21"/>
        <v/>
      </c>
      <c r="G103" s="45" t="str">
        <f>IF(B103="","",IF($C$4=Param!$A$2,VLOOKUP($C$4,Param!$A:$G,MATCH(Flujo!$G$14,Param!$A$1:$H$1,0),0)*$C$6,VLOOKUP($C$4,Param!$A:$G,MATCH(Flujo!$G$14,Param!$A$1:$H$1,0),0)*Flujo!$L103))</f>
        <v/>
      </c>
      <c r="H103" s="23" t="str">
        <f t="shared" si="24"/>
        <v/>
      </c>
      <c r="I103" s="23" t="str">
        <f t="shared" si="22"/>
        <v/>
      </c>
      <c r="J103" s="23"/>
      <c r="K103" s="28">
        <f t="shared" si="23"/>
        <v>0</v>
      </c>
      <c r="L103" s="25" t="str">
        <f t="shared" si="25"/>
        <v/>
      </c>
    </row>
    <row r="104" spans="2:12" s="15" customFormat="1" ht="15" x14ac:dyDescent="0.25">
      <c r="B104" s="15" t="str">
        <f t="shared" si="17"/>
        <v/>
      </c>
      <c r="C104" s="25" t="str">
        <f t="shared" si="18"/>
        <v/>
      </c>
      <c r="D104" s="26" t="str">
        <f t="shared" si="19"/>
        <v/>
      </c>
      <c r="E104" s="26" t="str">
        <f t="shared" si="20"/>
        <v/>
      </c>
      <c r="F104" s="44" t="str">
        <f t="shared" si="21"/>
        <v/>
      </c>
      <c r="G104" s="45" t="str">
        <f>IF(B104="","",IF($C$4=Param!$A$2,VLOOKUP($C$4,Param!$A:$G,MATCH(Flujo!$G$14,Param!$A$1:$H$1,0),0)*$C$6,VLOOKUP($C$4,Param!$A:$G,MATCH(Flujo!$G$14,Param!$A$1:$H$1,0),0)*Flujo!$L104))</f>
        <v/>
      </c>
      <c r="H104" s="23" t="str">
        <f t="shared" si="24"/>
        <v/>
      </c>
      <c r="I104" s="23" t="str">
        <f t="shared" si="22"/>
        <v/>
      </c>
      <c r="J104" s="23"/>
      <c r="K104" s="28">
        <f t="shared" si="23"/>
        <v>0</v>
      </c>
      <c r="L104" s="25" t="str">
        <f t="shared" si="25"/>
        <v/>
      </c>
    </row>
    <row r="105" spans="2:12" s="15" customFormat="1" ht="15" x14ac:dyDescent="0.25">
      <c r="B105" s="15" t="str">
        <f t="shared" si="17"/>
        <v/>
      </c>
      <c r="C105" s="25" t="str">
        <f t="shared" si="18"/>
        <v/>
      </c>
      <c r="D105" s="26" t="str">
        <f t="shared" si="19"/>
        <v/>
      </c>
      <c r="E105" s="26" t="str">
        <f t="shared" si="20"/>
        <v/>
      </c>
      <c r="F105" s="44" t="str">
        <f t="shared" si="21"/>
        <v/>
      </c>
      <c r="G105" s="45" t="str">
        <f>IF(B105="","",IF($C$4=Param!$A$2,VLOOKUP($C$4,Param!$A:$G,MATCH(Flujo!$G$14,Param!$A$1:$H$1,0),0)*$C$6,VLOOKUP($C$4,Param!$A:$G,MATCH(Flujo!$G$14,Param!$A$1:$H$1,0),0)*Flujo!$L105))</f>
        <v/>
      </c>
      <c r="H105" s="23" t="str">
        <f t="shared" si="24"/>
        <v/>
      </c>
      <c r="I105" s="23" t="str">
        <f t="shared" si="22"/>
        <v/>
      </c>
      <c r="J105" s="23"/>
      <c r="K105" s="28">
        <f t="shared" si="23"/>
        <v>0</v>
      </c>
      <c r="L105" s="25" t="str">
        <f t="shared" si="25"/>
        <v/>
      </c>
    </row>
    <row r="106" spans="2:12" s="15" customFormat="1" ht="15" x14ac:dyDescent="0.25">
      <c r="B106" s="15" t="str">
        <f t="shared" si="17"/>
        <v/>
      </c>
      <c r="C106" s="25" t="str">
        <f t="shared" si="18"/>
        <v/>
      </c>
      <c r="D106" s="26" t="str">
        <f t="shared" si="19"/>
        <v/>
      </c>
      <c r="E106" s="26" t="str">
        <f t="shared" si="20"/>
        <v/>
      </c>
      <c r="F106" s="44" t="str">
        <f t="shared" si="21"/>
        <v/>
      </c>
      <c r="G106" s="45" t="str">
        <f>IF(B106="","",IF($C$4=Param!$A$2,VLOOKUP($C$4,Param!$A:$G,MATCH(Flujo!$G$14,Param!$A$1:$H$1,0),0)*$C$6,VLOOKUP($C$4,Param!$A:$G,MATCH(Flujo!$G$14,Param!$A$1:$H$1,0),0)*Flujo!$L106))</f>
        <v/>
      </c>
      <c r="H106" s="23" t="str">
        <f t="shared" si="24"/>
        <v/>
      </c>
      <c r="I106" s="23" t="str">
        <f t="shared" si="22"/>
        <v/>
      </c>
      <c r="J106" s="23"/>
      <c r="K106" s="28">
        <f t="shared" si="23"/>
        <v>0</v>
      </c>
      <c r="L106" s="25" t="str">
        <f t="shared" si="25"/>
        <v/>
      </c>
    </row>
    <row r="107" spans="2:12" s="15" customFormat="1" ht="15" x14ac:dyDescent="0.25">
      <c r="B107" s="15" t="str">
        <f t="shared" si="17"/>
        <v/>
      </c>
      <c r="C107" s="25" t="str">
        <f t="shared" si="18"/>
        <v/>
      </c>
      <c r="D107" s="26" t="str">
        <f t="shared" si="19"/>
        <v/>
      </c>
      <c r="E107" s="26" t="str">
        <f t="shared" si="20"/>
        <v/>
      </c>
      <c r="F107" s="44" t="str">
        <f t="shared" si="21"/>
        <v/>
      </c>
      <c r="G107" s="45" t="str">
        <f>IF(B107="","",IF($C$4=Param!$A$2,VLOOKUP($C$4,Param!$A:$G,MATCH(Flujo!$G$14,Param!$A$1:$H$1,0),0)*$C$6,VLOOKUP($C$4,Param!$A:$G,MATCH(Flujo!$G$14,Param!$A$1:$H$1,0),0)*Flujo!$L107))</f>
        <v/>
      </c>
      <c r="H107" s="23" t="str">
        <f t="shared" si="24"/>
        <v/>
      </c>
      <c r="I107" s="23" t="str">
        <f t="shared" si="22"/>
        <v/>
      </c>
      <c r="J107" s="23"/>
      <c r="K107" s="28">
        <f t="shared" si="23"/>
        <v>0</v>
      </c>
      <c r="L107" s="25" t="str">
        <f t="shared" si="25"/>
        <v/>
      </c>
    </row>
    <row r="108" spans="2:12" s="15" customFormat="1" ht="15" x14ac:dyDescent="0.25">
      <c r="B108" s="15" t="str">
        <f t="shared" si="17"/>
        <v/>
      </c>
      <c r="C108" s="25" t="str">
        <f t="shared" si="18"/>
        <v/>
      </c>
      <c r="D108" s="26" t="str">
        <f t="shared" si="19"/>
        <v/>
      </c>
      <c r="E108" s="26" t="str">
        <f t="shared" si="20"/>
        <v/>
      </c>
      <c r="F108" s="44" t="str">
        <f t="shared" si="21"/>
        <v/>
      </c>
      <c r="G108" s="45" t="str">
        <f>IF(B108="","",IF($C$4=Param!$A$2,VLOOKUP($C$4,Param!$A:$G,MATCH(Flujo!$G$14,Param!$A$1:$H$1,0),0)*$C$6,VLOOKUP($C$4,Param!$A:$G,MATCH(Flujo!$G$14,Param!$A$1:$H$1,0),0)*Flujo!$L108))</f>
        <v/>
      </c>
      <c r="H108" s="23" t="str">
        <f t="shared" si="24"/>
        <v/>
      </c>
      <c r="I108" s="23" t="str">
        <f t="shared" si="22"/>
        <v/>
      </c>
      <c r="J108" s="23"/>
      <c r="K108" s="28">
        <f t="shared" si="23"/>
        <v>0</v>
      </c>
      <c r="L108" s="25" t="str">
        <f t="shared" si="25"/>
        <v/>
      </c>
    </row>
    <row r="109" spans="2:12" s="15" customFormat="1" ht="15" x14ac:dyDescent="0.25">
      <c r="B109" s="15" t="str">
        <f t="shared" si="17"/>
        <v/>
      </c>
      <c r="C109" s="25" t="str">
        <f t="shared" si="18"/>
        <v/>
      </c>
      <c r="D109" s="26" t="str">
        <f t="shared" si="19"/>
        <v/>
      </c>
      <c r="E109" s="26" t="str">
        <f t="shared" si="20"/>
        <v/>
      </c>
      <c r="F109" s="44" t="str">
        <f t="shared" si="21"/>
        <v/>
      </c>
      <c r="G109" s="45" t="str">
        <f>IF(B109="","",IF($C$4=Param!$A$2,VLOOKUP($C$4,Param!$A:$G,MATCH(Flujo!$G$14,Param!$A$1:$H$1,0),0)*$C$6,VLOOKUP($C$4,Param!$A:$G,MATCH(Flujo!$G$14,Param!$A$1:$H$1,0),0)*Flujo!$L109))</f>
        <v/>
      </c>
      <c r="H109" s="23" t="str">
        <f t="shared" si="24"/>
        <v/>
      </c>
      <c r="I109" s="23" t="str">
        <f t="shared" si="22"/>
        <v/>
      </c>
      <c r="J109" s="23"/>
      <c r="K109" s="28">
        <f t="shared" si="23"/>
        <v>0</v>
      </c>
      <c r="L109" s="25" t="str">
        <f t="shared" si="25"/>
        <v/>
      </c>
    </row>
    <row r="110" spans="2:12" s="15" customFormat="1" ht="15" x14ac:dyDescent="0.25">
      <c r="B110" s="15" t="str">
        <f t="shared" si="17"/>
        <v/>
      </c>
      <c r="C110" s="25" t="str">
        <f t="shared" si="18"/>
        <v/>
      </c>
      <c r="D110" s="26" t="str">
        <f t="shared" si="19"/>
        <v/>
      </c>
      <c r="E110" s="26" t="str">
        <f t="shared" si="20"/>
        <v/>
      </c>
      <c r="F110" s="44" t="str">
        <f t="shared" si="21"/>
        <v/>
      </c>
      <c r="G110" s="45" t="str">
        <f>IF(B110="","",IF($C$4=Param!$A$2,VLOOKUP($C$4,Param!$A:$G,MATCH(Flujo!$G$14,Param!$A$1:$H$1,0),0)*$C$6,VLOOKUP($C$4,Param!$A:$G,MATCH(Flujo!$G$14,Param!$A$1:$H$1,0),0)*Flujo!$L110))</f>
        <v/>
      </c>
      <c r="H110" s="23" t="str">
        <f t="shared" si="24"/>
        <v/>
      </c>
      <c r="I110" s="23" t="str">
        <f t="shared" si="22"/>
        <v/>
      </c>
      <c r="J110" s="23"/>
      <c r="K110" s="28">
        <f t="shared" si="23"/>
        <v>0</v>
      </c>
      <c r="L110" s="25" t="str">
        <f t="shared" si="25"/>
        <v/>
      </c>
    </row>
    <row r="111" spans="2:12" s="15" customFormat="1" ht="15" x14ac:dyDescent="0.25">
      <c r="B111" s="15" t="str">
        <f t="shared" si="17"/>
        <v/>
      </c>
      <c r="C111" s="25" t="str">
        <f t="shared" si="18"/>
        <v/>
      </c>
      <c r="D111" s="26" t="str">
        <f t="shared" si="19"/>
        <v/>
      </c>
      <c r="E111" s="26" t="str">
        <f t="shared" si="20"/>
        <v/>
      </c>
      <c r="F111" s="44" t="str">
        <f t="shared" si="21"/>
        <v/>
      </c>
      <c r="G111" s="45" t="str">
        <f>IF(B111="","",IF($C$4=Param!$A$2,VLOOKUP($C$4,Param!$A:$G,MATCH(Flujo!$G$14,Param!$A$1:$H$1,0),0)*$C$6,VLOOKUP($C$4,Param!$A:$G,MATCH(Flujo!$G$14,Param!$A$1:$H$1,0),0)*Flujo!$L111))</f>
        <v/>
      </c>
      <c r="H111" s="23" t="str">
        <f t="shared" si="24"/>
        <v/>
      </c>
      <c r="I111" s="23" t="str">
        <f t="shared" si="22"/>
        <v/>
      </c>
      <c r="J111" s="23"/>
      <c r="K111" s="28">
        <f t="shared" si="23"/>
        <v>0</v>
      </c>
      <c r="L111" s="25" t="str">
        <f t="shared" si="25"/>
        <v/>
      </c>
    </row>
    <row r="112" spans="2:12" s="15" customFormat="1" ht="15" x14ac:dyDescent="0.25">
      <c r="B112" s="15" t="str">
        <f t="shared" si="17"/>
        <v/>
      </c>
      <c r="C112" s="25" t="str">
        <f t="shared" si="18"/>
        <v/>
      </c>
      <c r="D112" s="26" t="str">
        <f t="shared" si="19"/>
        <v/>
      </c>
      <c r="E112" s="26" t="str">
        <f t="shared" si="20"/>
        <v/>
      </c>
      <c r="F112" s="44" t="str">
        <f t="shared" si="21"/>
        <v/>
      </c>
      <c r="G112" s="45" t="str">
        <f>IF(B112="","",IF($C$4=Param!$A$2,VLOOKUP($C$4,Param!$A:$G,MATCH(Flujo!$G$14,Param!$A$1:$H$1,0),0)*$C$6,VLOOKUP($C$4,Param!$A:$G,MATCH(Flujo!$G$14,Param!$A$1:$H$1,0),0)*Flujo!$L112))</f>
        <v/>
      </c>
      <c r="H112" s="23" t="str">
        <f t="shared" si="24"/>
        <v/>
      </c>
      <c r="I112" s="23" t="str">
        <f t="shared" si="22"/>
        <v/>
      </c>
      <c r="J112" s="23"/>
      <c r="K112" s="28">
        <f t="shared" si="23"/>
        <v>0</v>
      </c>
      <c r="L112" s="25" t="str">
        <f t="shared" si="25"/>
        <v/>
      </c>
    </row>
    <row r="113" spans="2:12" s="15" customFormat="1" ht="15" x14ac:dyDescent="0.25">
      <c r="B113" s="15" t="str">
        <f t="shared" ref="B113:B136" si="26">IF(B112&gt;=$C$9,"",IF(I112=0,"",B112+1))</f>
        <v/>
      </c>
      <c r="C113" s="25" t="str">
        <f t="shared" ref="C113:C136" si="27">IF(B113="","",IF(B113=$C$9,I112,cuota-D113))</f>
        <v/>
      </c>
      <c r="D113" s="26" t="str">
        <f t="shared" ref="D113:D136" si="28">(IF(I112&lt;0,0,IF(B113&lt;=$C$9,$I112*$C$12,"")))</f>
        <v/>
      </c>
      <c r="E113" s="26" t="str">
        <f t="shared" ref="E113:E136" si="29">IF(B113="","",SUM(D113:D113))</f>
        <v/>
      </c>
      <c r="F113" s="44" t="str">
        <f t="shared" ref="F113:F136" si="30">IF(B113=$C$9,D113+C113,IF(B113="","",cuota))</f>
        <v/>
      </c>
      <c r="G113" s="45" t="str">
        <f>IF(B113="","",IF($C$4=Param!$A$2,VLOOKUP($C$4,Param!$A:$G,MATCH(Flujo!$G$14,Param!$A$1:$H$1,0),0)*$C$6,VLOOKUP($C$4,Param!$A:$G,MATCH(Flujo!$G$14,Param!$A$1:$H$1,0),0)*Flujo!$L113))</f>
        <v/>
      </c>
      <c r="H113" s="23" t="str">
        <f t="shared" si="24"/>
        <v/>
      </c>
      <c r="I113" s="23" t="str">
        <f t="shared" ref="I113:I136" si="31">IF(B113&lt;=$C$9,(I112-C113),"")</f>
        <v/>
      </c>
      <c r="J113" s="23"/>
      <c r="K113" s="28">
        <f t="shared" ref="K113:K136" si="32">SUM(F113:G113)</f>
        <v>0</v>
      </c>
      <c r="L113" s="25" t="str">
        <f t="shared" si="25"/>
        <v/>
      </c>
    </row>
    <row r="114" spans="2:12" s="15" customFormat="1" ht="15" x14ac:dyDescent="0.25">
      <c r="B114" s="15" t="str">
        <f t="shared" si="26"/>
        <v/>
      </c>
      <c r="C114" s="25" t="str">
        <f t="shared" si="27"/>
        <v/>
      </c>
      <c r="D114" s="26" t="str">
        <f t="shared" si="28"/>
        <v/>
      </c>
      <c r="E114" s="26" t="str">
        <f t="shared" si="29"/>
        <v/>
      </c>
      <c r="F114" s="44" t="str">
        <f t="shared" si="30"/>
        <v/>
      </c>
      <c r="G114" s="45" t="str">
        <f>IF(B114="","",IF($C$4=Param!$A$2,VLOOKUP($C$4,Param!$A:$G,MATCH(Flujo!$G$14,Param!$A$1:$H$1,0),0)*$C$6,VLOOKUP($C$4,Param!$A:$G,MATCH(Flujo!$G$14,Param!$A$1:$H$1,0),0)*Flujo!$L114))</f>
        <v/>
      </c>
      <c r="H114" s="23" t="str">
        <f t="shared" si="24"/>
        <v/>
      </c>
      <c r="I114" s="23" t="str">
        <f t="shared" si="31"/>
        <v/>
      </c>
      <c r="J114" s="23"/>
      <c r="K114" s="28">
        <f t="shared" si="32"/>
        <v>0</v>
      </c>
      <c r="L114" s="25" t="str">
        <f t="shared" si="25"/>
        <v/>
      </c>
    </row>
    <row r="115" spans="2:12" s="15" customFormat="1" ht="15" x14ac:dyDescent="0.25">
      <c r="B115" s="15" t="str">
        <f t="shared" si="26"/>
        <v/>
      </c>
      <c r="C115" s="25" t="str">
        <f t="shared" si="27"/>
        <v/>
      </c>
      <c r="D115" s="26" t="str">
        <f t="shared" si="28"/>
        <v/>
      </c>
      <c r="E115" s="26" t="str">
        <f t="shared" si="29"/>
        <v/>
      </c>
      <c r="F115" s="44" t="str">
        <f t="shared" si="30"/>
        <v/>
      </c>
      <c r="G115" s="45" t="str">
        <f>IF(B115="","",IF($C$4=Param!$A$2,VLOOKUP($C$4,Param!$A:$G,MATCH(Flujo!$G$14,Param!$A$1:$H$1,0),0)*$C$6,VLOOKUP($C$4,Param!$A:$G,MATCH(Flujo!$G$14,Param!$A$1:$H$1,0),0)*Flujo!$L115))</f>
        <v/>
      </c>
      <c r="H115" s="23" t="str">
        <f t="shared" si="24"/>
        <v/>
      </c>
      <c r="I115" s="23" t="str">
        <f t="shared" si="31"/>
        <v/>
      </c>
      <c r="J115" s="23"/>
      <c r="K115" s="28">
        <f t="shared" si="32"/>
        <v>0</v>
      </c>
      <c r="L115" s="25" t="str">
        <f t="shared" si="25"/>
        <v/>
      </c>
    </row>
    <row r="116" spans="2:12" s="15" customFormat="1" ht="15" x14ac:dyDescent="0.25">
      <c r="B116" s="15" t="str">
        <f t="shared" si="26"/>
        <v/>
      </c>
      <c r="C116" s="25" t="str">
        <f t="shared" si="27"/>
        <v/>
      </c>
      <c r="D116" s="26" t="str">
        <f t="shared" si="28"/>
        <v/>
      </c>
      <c r="E116" s="26" t="str">
        <f t="shared" si="29"/>
        <v/>
      </c>
      <c r="F116" s="44" t="str">
        <f t="shared" si="30"/>
        <v/>
      </c>
      <c r="G116" s="45" t="str">
        <f>IF(B116="","",IF($C$4=Param!$A$2,VLOOKUP($C$4,Param!$A:$G,MATCH(Flujo!$G$14,Param!$A$1:$H$1,0),0)*$C$6,VLOOKUP($C$4,Param!$A:$G,MATCH(Flujo!$G$14,Param!$A$1:$H$1,0),0)*Flujo!$L116))</f>
        <v/>
      </c>
      <c r="H116" s="23" t="str">
        <f t="shared" si="24"/>
        <v/>
      </c>
      <c r="I116" s="23" t="str">
        <f t="shared" si="31"/>
        <v/>
      </c>
      <c r="J116" s="23"/>
      <c r="K116" s="28">
        <f t="shared" si="32"/>
        <v>0</v>
      </c>
      <c r="L116" s="25" t="str">
        <f t="shared" si="25"/>
        <v/>
      </c>
    </row>
    <row r="117" spans="2:12" s="15" customFormat="1" ht="15" x14ac:dyDescent="0.25">
      <c r="B117" s="15" t="str">
        <f t="shared" si="26"/>
        <v/>
      </c>
      <c r="C117" s="25" t="str">
        <f t="shared" si="27"/>
        <v/>
      </c>
      <c r="D117" s="26" t="str">
        <f t="shared" si="28"/>
        <v/>
      </c>
      <c r="E117" s="26" t="str">
        <f t="shared" si="29"/>
        <v/>
      </c>
      <c r="F117" s="44" t="str">
        <f t="shared" si="30"/>
        <v/>
      </c>
      <c r="G117" s="45" t="str">
        <f>IF(B117="","",IF($C$4=Param!$A$2,VLOOKUP($C$4,Param!$A:$G,MATCH(Flujo!$G$14,Param!$A$1:$H$1,0),0)*$C$6,VLOOKUP($C$4,Param!$A:$G,MATCH(Flujo!$G$14,Param!$A$1:$H$1,0),0)*Flujo!$L117))</f>
        <v/>
      </c>
      <c r="H117" s="23" t="str">
        <f t="shared" si="24"/>
        <v/>
      </c>
      <c r="I117" s="23" t="str">
        <f t="shared" si="31"/>
        <v/>
      </c>
      <c r="J117" s="23"/>
      <c r="K117" s="28">
        <f t="shared" si="32"/>
        <v>0</v>
      </c>
      <c r="L117" s="25" t="str">
        <f t="shared" si="25"/>
        <v/>
      </c>
    </row>
    <row r="118" spans="2:12" s="15" customFormat="1" ht="15" x14ac:dyDescent="0.25">
      <c r="B118" s="15" t="str">
        <f t="shared" si="26"/>
        <v/>
      </c>
      <c r="C118" s="25" t="str">
        <f t="shared" si="27"/>
        <v/>
      </c>
      <c r="D118" s="26" t="str">
        <f t="shared" si="28"/>
        <v/>
      </c>
      <c r="E118" s="26" t="str">
        <f t="shared" si="29"/>
        <v/>
      </c>
      <c r="F118" s="44" t="str">
        <f t="shared" si="30"/>
        <v/>
      </c>
      <c r="G118" s="45" t="str">
        <f>IF(B118="","",IF($C$4=Param!$A$2,VLOOKUP($C$4,Param!$A:$G,MATCH(Flujo!$G$14,Param!$A$1:$H$1,0),0)*$C$6,VLOOKUP($C$4,Param!$A:$G,MATCH(Flujo!$G$14,Param!$A$1:$H$1,0),0)*Flujo!$L118))</f>
        <v/>
      </c>
      <c r="H118" s="23" t="str">
        <f t="shared" si="24"/>
        <v/>
      </c>
      <c r="I118" s="23" t="str">
        <f t="shared" si="31"/>
        <v/>
      </c>
      <c r="J118" s="23"/>
      <c r="K118" s="28">
        <f t="shared" si="32"/>
        <v>0</v>
      </c>
      <c r="L118" s="25" t="str">
        <f t="shared" si="25"/>
        <v/>
      </c>
    </row>
    <row r="119" spans="2:12" s="15" customFormat="1" ht="15" x14ac:dyDescent="0.25">
      <c r="B119" s="15" t="str">
        <f t="shared" si="26"/>
        <v/>
      </c>
      <c r="C119" s="25" t="str">
        <f t="shared" si="27"/>
        <v/>
      </c>
      <c r="D119" s="26" t="str">
        <f t="shared" si="28"/>
        <v/>
      </c>
      <c r="E119" s="26" t="str">
        <f t="shared" si="29"/>
        <v/>
      </c>
      <c r="F119" s="44" t="str">
        <f t="shared" si="30"/>
        <v/>
      </c>
      <c r="G119" s="45" t="str">
        <f>IF(B119="","",IF($C$4=Param!$A$2,VLOOKUP($C$4,Param!$A:$G,MATCH(Flujo!$G$14,Param!$A$1:$H$1,0),0)*$C$6,VLOOKUP($C$4,Param!$A:$G,MATCH(Flujo!$G$14,Param!$A$1:$H$1,0),0)*Flujo!$L119))</f>
        <v/>
      </c>
      <c r="H119" s="23" t="str">
        <f t="shared" si="24"/>
        <v/>
      </c>
      <c r="I119" s="23" t="str">
        <f t="shared" si="31"/>
        <v/>
      </c>
      <c r="J119" s="23"/>
      <c r="K119" s="28">
        <f t="shared" si="32"/>
        <v>0</v>
      </c>
      <c r="L119" s="25" t="str">
        <f t="shared" si="25"/>
        <v/>
      </c>
    </row>
    <row r="120" spans="2:12" s="15" customFormat="1" ht="15" x14ac:dyDescent="0.25">
      <c r="B120" s="15" t="str">
        <f t="shared" si="26"/>
        <v/>
      </c>
      <c r="C120" s="25" t="str">
        <f t="shared" si="27"/>
        <v/>
      </c>
      <c r="D120" s="26" t="str">
        <f t="shared" si="28"/>
        <v/>
      </c>
      <c r="E120" s="26" t="str">
        <f t="shared" si="29"/>
        <v/>
      </c>
      <c r="F120" s="44" t="str">
        <f t="shared" si="30"/>
        <v/>
      </c>
      <c r="G120" s="45" t="str">
        <f>IF(B120="","",IF($C$4=Param!$A$2,VLOOKUP($C$4,Param!$A:$G,MATCH(Flujo!$G$14,Param!$A$1:$H$1,0),0)*$C$6,VLOOKUP($C$4,Param!$A:$G,MATCH(Flujo!$G$14,Param!$A$1:$H$1,0),0)*Flujo!$L120))</f>
        <v/>
      </c>
      <c r="H120" s="23" t="str">
        <f t="shared" si="24"/>
        <v/>
      </c>
      <c r="I120" s="23" t="str">
        <f t="shared" si="31"/>
        <v/>
      </c>
      <c r="J120" s="23"/>
      <c r="K120" s="28">
        <f t="shared" si="32"/>
        <v>0</v>
      </c>
      <c r="L120" s="25" t="str">
        <f t="shared" si="25"/>
        <v/>
      </c>
    </row>
    <row r="121" spans="2:12" s="15" customFormat="1" ht="15" x14ac:dyDescent="0.25">
      <c r="B121" s="15" t="str">
        <f t="shared" si="26"/>
        <v/>
      </c>
      <c r="C121" s="25" t="str">
        <f t="shared" si="27"/>
        <v/>
      </c>
      <c r="D121" s="26" t="str">
        <f t="shared" si="28"/>
        <v/>
      </c>
      <c r="E121" s="26" t="str">
        <f t="shared" si="29"/>
        <v/>
      </c>
      <c r="F121" s="44" t="str">
        <f t="shared" si="30"/>
        <v/>
      </c>
      <c r="G121" s="45" t="str">
        <f>IF(B121="","",IF($C$4=Param!$A$2,VLOOKUP($C$4,Param!$A:$G,MATCH(Flujo!$G$14,Param!$A$1:$H$1,0),0)*$C$6,VLOOKUP($C$4,Param!$A:$G,MATCH(Flujo!$G$14,Param!$A$1:$H$1,0),0)*Flujo!$L121))</f>
        <v/>
      </c>
      <c r="H121" s="23" t="str">
        <f t="shared" si="24"/>
        <v/>
      </c>
      <c r="I121" s="23" t="str">
        <f t="shared" si="31"/>
        <v/>
      </c>
      <c r="J121" s="23"/>
      <c r="K121" s="28">
        <f t="shared" si="32"/>
        <v>0</v>
      </c>
      <c r="L121" s="25" t="str">
        <f t="shared" si="25"/>
        <v/>
      </c>
    </row>
    <row r="122" spans="2:12" s="15" customFormat="1" ht="15" x14ac:dyDescent="0.25">
      <c r="B122" s="15" t="str">
        <f t="shared" si="26"/>
        <v/>
      </c>
      <c r="C122" s="25" t="str">
        <f t="shared" si="27"/>
        <v/>
      </c>
      <c r="D122" s="26" t="str">
        <f t="shared" si="28"/>
        <v/>
      </c>
      <c r="E122" s="26" t="str">
        <f t="shared" si="29"/>
        <v/>
      </c>
      <c r="F122" s="44" t="str">
        <f t="shared" si="30"/>
        <v/>
      </c>
      <c r="G122" s="45" t="str">
        <f>IF(B122="","",IF($C$4=Param!$A$2,VLOOKUP($C$4,Param!$A:$G,MATCH(Flujo!$G$14,Param!$A$1:$H$1,0),0)*$C$6,VLOOKUP($C$4,Param!$A:$G,MATCH(Flujo!$G$14,Param!$A$1:$H$1,0),0)*Flujo!$L122))</f>
        <v/>
      </c>
      <c r="H122" s="23" t="str">
        <f t="shared" si="24"/>
        <v/>
      </c>
      <c r="I122" s="23" t="str">
        <f t="shared" si="31"/>
        <v/>
      </c>
      <c r="J122" s="23"/>
      <c r="K122" s="28">
        <f t="shared" si="32"/>
        <v>0</v>
      </c>
      <c r="L122" s="25" t="str">
        <f t="shared" si="25"/>
        <v/>
      </c>
    </row>
    <row r="123" spans="2:12" s="15" customFormat="1" ht="15" x14ac:dyDescent="0.25">
      <c r="B123" s="15" t="str">
        <f t="shared" si="26"/>
        <v/>
      </c>
      <c r="C123" s="25" t="str">
        <f t="shared" si="27"/>
        <v/>
      </c>
      <c r="D123" s="26" t="str">
        <f t="shared" si="28"/>
        <v/>
      </c>
      <c r="E123" s="26" t="str">
        <f t="shared" si="29"/>
        <v/>
      </c>
      <c r="F123" s="44" t="str">
        <f t="shared" si="30"/>
        <v/>
      </c>
      <c r="G123" s="45" t="str">
        <f>IF(B123="","",IF($C$4=Param!$A$2,VLOOKUP($C$4,Param!$A:$G,MATCH(Flujo!$G$14,Param!$A$1:$H$1,0),0)*$C$6,VLOOKUP($C$4,Param!$A:$G,MATCH(Flujo!$G$14,Param!$A$1:$H$1,0),0)*Flujo!$L123))</f>
        <v/>
      </c>
      <c r="H123" s="23" t="str">
        <f t="shared" si="24"/>
        <v/>
      </c>
      <c r="I123" s="23" t="str">
        <f t="shared" si="31"/>
        <v/>
      </c>
      <c r="J123" s="23"/>
      <c r="K123" s="28">
        <f t="shared" si="32"/>
        <v>0</v>
      </c>
      <c r="L123" s="25" t="str">
        <f t="shared" si="25"/>
        <v/>
      </c>
    </row>
    <row r="124" spans="2:12" s="15" customFormat="1" ht="15" x14ac:dyDescent="0.25">
      <c r="B124" s="15" t="str">
        <f t="shared" si="26"/>
        <v/>
      </c>
      <c r="C124" s="25" t="str">
        <f t="shared" si="27"/>
        <v/>
      </c>
      <c r="D124" s="26" t="str">
        <f t="shared" si="28"/>
        <v/>
      </c>
      <c r="E124" s="26" t="str">
        <f t="shared" si="29"/>
        <v/>
      </c>
      <c r="F124" s="44" t="str">
        <f t="shared" si="30"/>
        <v/>
      </c>
      <c r="G124" s="45" t="str">
        <f>IF(B124="","",IF($C$4=Param!$A$2,VLOOKUP($C$4,Param!$A:$G,MATCH(Flujo!$G$14,Param!$A$1:$H$1,0),0)*$C$6,VLOOKUP($C$4,Param!$A:$G,MATCH(Flujo!$G$14,Param!$A$1:$H$1,0),0)*Flujo!$L124))</f>
        <v/>
      </c>
      <c r="H124" s="23" t="str">
        <f t="shared" si="24"/>
        <v/>
      </c>
      <c r="I124" s="23" t="str">
        <f t="shared" si="31"/>
        <v/>
      </c>
      <c r="J124" s="23"/>
      <c r="K124" s="28">
        <f t="shared" si="32"/>
        <v>0</v>
      </c>
      <c r="L124" s="25" t="str">
        <f t="shared" si="25"/>
        <v/>
      </c>
    </row>
    <row r="125" spans="2:12" s="15" customFormat="1" ht="15" x14ac:dyDescent="0.25">
      <c r="B125" s="15" t="str">
        <f t="shared" si="26"/>
        <v/>
      </c>
      <c r="C125" s="25" t="str">
        <f t="shared" si="27"/>
        <v/>
      </c>
      <c r="D125" s="26" t="str">
        <f t="shared" si="28"/>
        <v/>
      </c>
      <c r="E125" s="26" t="str">
        <f t="shared" si="29"/>
        <v/>
      </c>
      <c r="F125" s="44" t="str">
        <f t="shared" si="30"/>
        <v/>
      </c>
      <c r="G125" s="45" t="str">
        <f>IF(B125="","",IF($C$4=Param!$A$2,VLOOKUP($C$4,Param!$A:$G,MATCH(Flujo!$G$14,Param!$A$1:$H$1,0),0)*$C$6,VLOOKUP($C$4,Param!$A:$G,MATCH(Flujo!$G$14,Param!$A$1:$H$1,0),0)*Flujo!$L125))</f>
        <v/>
      </c>
      <c r="H125" s="23" t="str">
        <f t="shared" si="24"/>
        <v/>
      </c>
      <c r="I125" s="23" t="str">
        <f t="shared" si="31"/>
        <v/>
      </c>
      <c r="J125" s="23"/>
      <c r="K125" s="28">
        <f t="shared" si="32"/>
        <v>0</v>
      </c>
      <c r="L125" s="25" t="str">
        <f t="shared" si="25"/>
        <v/>
      </c>
    </row>
    <row r="126" spans="2:12" s="15" customFormat="1" ht="15" x14ac:dyDescent="0.25">
      <c r="B126" s="15" t="str">
        <f t="shared" si="26"/>
        <v/>
      </c>
      <c r="C126" s="25" t="str">
        <f t="shared" si="27"/>
        <v/>
      </c>
      <c r="D126" s="26" t="str">
        <f t="shared" si="28"/>
        <v/>
      </c>
      <c r="E126" s="26" t="str">
        <f t="shared" si="29"/>
        <v/>
      </c>
      <c r="F126" s="44" t="str">
        <f t="shared" si="30"/>
        <v/>
      </c>
      <c r="G126" s="45" t="str">
        <f>IF(B126="","",IF($C$4=Param!$A$2,VLOOKUP($C$4,Param!$A:$G,MATCH(Flujo!$G$14,Param!$A$1:$H$1,0),0)*$C$6,VLOOKUP($C$4,Param!$A:$G,MATCH(Flujo!$G$14,Param!$A$1:$H$1,0),0)*Flujo!$L126))</f>
        <v/>
      </c>
      <c r="H126" s="23" t="str">
        <f t="shared" si="24"/>
        <v/>
      </c>
      <c r="I126" s="23" t="str">
        <f t="shared" si="31"/>
        <v/>
      </c>
      <c r="J126" s="23"/>
      <c r="K126" s="28">
        <f t="shared" si="32"/>
        <v>0</v>
      </c>
      <c r="L126" s="25" t="str">
        <f t="shared" si="25"/>
        <v/>
      </c>
    </row>
    <row r="127" spans="2:12" s="15" customFormat="1" ht="15" x14ac:dyDescent="0.25">
      <c r="B127" s="15" t="str">
        <f t="shared" si="26"/>
        <v/>
      </c>
      <c r="C127" s="25" t="str">
        <f t="shared" si="27"/>
        <v/>
      </c>
      <c r="D127" s="26" t="str">
        <f t="shared" si="28"/>
        <v/>
      </c>
      <c r="E127" s="26" t="str">
        <f t="shared" si="29"/>
        <v/>
      </c>
      <c r="F127" s="44" t="str">
        <f t="shared" si="30"/>
        <v/>
      </c>
      <c r="G127" s="45" t="str">
        <f>IF(B127="","",IF($C$4=Param!$A$2,VLOOKUP($C$4,Param!$A:$G,MATCH(Flujo!$G$14,Param!$A$1:$H$1,0),0)*$C$6,VLOOKUP($C$4,Param!$A:$G,MATCH(Flujo!$G$14,Param!$A$1:$H$1,0),0)*Flujo!$L127))</f>
        <v/>
      </c>
      <c r="H127" s="23" t="str">
        <f t="shared" si="24"/>
        <v/>
      </c>
      <c r="I127" s="23" t="str">
        <f t="shared" si="31"/>
        <v/>
      </c>
      <c r="J127" s="23"/>
      <c r="K127" s="28">
        <f t="shared" si="32"/>
        <v>0</v>
      </c>
      <c r="L127" s="25" t="str">
        <f t="shared" si="25"/>
        <v/>
      </c>
    </row>
    <row r="128" spans="2:12" s="15" customFormat="1" ht="15" x14ac:dyDescent="0.25">
      <c r="B128" s="15" t="str">
        <f t="shared" si="26"/>
        <v/>
      </c>
      <c r="C128" s="25" t="str">
        <f t="shared" si="27"/>
        <v/>
      </c>
      <c r="D128" s="26" t="str">
        <f t="shared" si="28"/>
        <v/>
      </c>
      <c r="E128" s="26" t="str">
        <f t="shared" si="29"/>
        <v/>
      </c>
      <c r="F128" s="44" t="str">
        <f t="shared" si="30"/>
        <v/>
      </c>
      <c r="G128" s="45" t="str">
        <f>IF(B128="","",IF($C$4=Param!$A$2,VLOOKUP($C$4,Param!$A:$G,MATCH(Flujo!$G$14,Param!$A$1:$H$1,0),0)*$C$6,VLOOKUP($C$4,Param!$A:$G,MATCH(Flujo!$G$14,Param!$A$1:$H$1,0),0)*Flujo!$L128))</f>
        <v/>
      </c>
      <c r="H128" s="23" t="str">
        <f t="shared" si="24"/>
        <v/>
      </c>
      <c r="I128" s="23" t="str">
        <f t="shared" si="31"/>
        <v/>
      </c>
      <c r="J128" s="23"/>
      <c r="K128" s="28">
        <f t="shared" si="32"/>
        <v>0</v>
      </c>
      <c r="L128" s="25" t="str">
        <f t="shared" si="25"/>
        <v/>
      </c>
    </row>
    <row r="129" spans="1:12" s="15" customFormat="1" ht="15" x14ac:dyDescent="0.25">
      <c r="B129" s="15" t="str">
        <f t="shared" si="26"/>
        <v/>
      </c>
      <c r="C129" s="25" t="str">
        <f t="shared" si="27"/>
        <v/>
      </c>
      <c r="D129" s="26" t="str">
        <f t="shared" si="28"/>
        <v/>
      </c>
      <c r="E129" s="26" t="str">
        <f t="shared" si="29"/>
        <v/>
      </c>
      <c r="F129" s="44" t="str">
        <f t="shared" si="30"/>
        <v/>
      </c>
      <c r="G129" s="45" t="str">
        <f>IF(B129="","",IF($C$4=Param!$A$2,VLOOKUP($C$4,Param!$A:$G,MATCH(Flujo!$G$14,Param!$A$1:$H$1,0),0)*$C$6,VLOOKUP($C$4,Param!$A:$G,MATCH(Flujo!$G$14,Param!$A$1:$H$1,0),0)*Flujo!$L129))</f>
        <v/>
      </c>
      <c r="H129" s="23" t="str">
        <f t="shared" si="24"/>
        <v/>
      </c>
      <c r="I129" s="23" t="str">
        <f t="shared" si="31"/>
        <v/>
      </c>
      <c r="J129" s="23"/>
      <c r="K129" s="28">
        <f t="shared" si="32"/>
        <v>0</v>
      </c>
      <c r="L129" s="25" t="str">
        <f t="shared" si="25"/>
        <v/>
      </c>
    </row>
    <row r="130" spans="1:12" s="15" customFormat="1" ht="15" x14ac:dyDescent="0.25">
      <c r="B130" s="15" t="str">
        <f t="shared" si="26"/>
        <v/>
      </c>
      <c r="C130" s="25" t="str">
        <f t="shared" si="27"/>
        <v/>
      </c>
      <c r="D130" s="26" t="str">
        <f t="shared" si="28"/>
        <v/>
      </c>
      <c r="E130" s="26" t="str">
        <f t="shared" si="29"/>
        <v/>
      </c>
      <c r="F130" s="44" t="str">
        <f t="shared" si="30"/>
        <v/>
      </c>
      <c r="G130" s="45" t="str">
        <f>IF(B130="","",IF($C$4=Param!$A$2,VLOOKUP($C$4,Param!$A:$G,MATCH(Flujo!$G$14,Param!$A$1:$H$1,0),0)*$C$6,VLOOKUP($C$4,Param!$A:$G,MATCH(Flujo!$G$14,Param!$A$1:$H$1,0),0)*Flujo!$L130))</f>
        <v/>
      </c>
      <c r="H130" s="23" t="str">
        <f t="shared" si="24"/>
        <v/>
      </c>
      <c r="I130" s="23" t="str">
        <f t="shared" si="31"/>
        <v/>
      </c>
      <c r="J130" s="23"/>
      <c r="K130" s="28">
        <f t="shared" si="32"/>
        <v>0</v>
      </c>
      <c r="L130" s="25" t="str">
        <f t="shared" si="25"/>
        <v/>
      </c>
    </row>
    <row r="131" spans="1:12" s="15" customFormat="1" ht="15" x14ac:dyDescent="0.25">
      <c r="B131" s="15" t="str">
        <f t="shared" si="26"/>
        <v/>
      </c>
      <c r="C131" s="25" t="str">
        <f t="shared" si="27"/>
        <v/>
      </c>
      <c r="D131" s="26" t="str">
        <f t="shared" si="28"/>
        <v/>
      </c>
      <c r="E131" s="26" t="str">
        <f t="shared" si="29"/>
        <v/>
      </c>
      <c r="F131" s="44" t="str">
        <f t="shared" si="30"/>
        <v/>
      </c>
      <c r="G131" s="45" t="str">
        <f>IF(B131="","",IF($C$4=Param!$A$2,VLOOKUP($C$4,Param!$A:$G,MATCH(Flujo!$G$14,Param!$A$1:$H$1,0),0)*$C$6,VLOOKUP($C$4,Param!$A:$G,MATCH(Flujo!$G$14,Param!$A$1:$H$1,0),0)*Flujo!$L131))</f>
        <v/>
      </c>
      <c r="H131" s="23" t="str">
        <f t="shared" si="24"/>
        <v/>
      </c>
      <c r="I131" s="23" t="str">
        <f t="shared" si="31"/>
        <v/>
      </c>
      <c r="J131" s="23"/>
      <c r="K131" s="28">
        <f t="shared" si="32"/>
        <v>0</v>
      </c>
      <c r="L131" s="25" t="str">
        <f t="shared" si="25"/>
        <v/>
      </c>
    </row>
    <row r="132" spans="1:12" s="15" customFormat="1" ht="15" x14ac:dyDescent="0.25">
      <c r="B132" s="15" t="str">
        <f t="shared" si="26"/>
        <v/>
      </c>
      <c r="C132" s="25" t="str">
        <f t="shared" si="27"/>
        <v/>
      </c>
      <c r="D132" s="26" t="str">
        <f t="shared" si="28"/>
        <v/>
      </c>
      <c r="E132" s="26" t="str">
        <f t="shared" si="29"/>
        <v/>
      </c>
      <c r="F132" s="44" t="str">
        <f t="shared" si="30"/>
        <v/>
      </c>
      <c r="G132" s="45" t="str">
        <f>IF(B132="","",IF($C$4=Param!$A$2,VLOOKUP($C$4,Param!$A:$G,MATCH(Flujo!$G$14,Param!$A$1:$H$1,0),0)*$C$6,VLOOKUP($C$4,Param!$A:$G,MATCH(Flujo!$G$14,Param!$A$1:$H$1,0),0)*Flujo!$L132))</f>
        <v/>
      </c>
      <c r="H132" s="23" t="str">
        <f t="shared" si="24"/>
        <v/>
      </c>
      <c r="I132" s="23" t="str">
        <f t="shared" si="31"/>
        <v/>
      </c>
      <c r="J132" s="23"/>
      <c r="K132" s="28">
        <f t="shared" si="32"/>
        <v>0</v>
      </c>
      <c r="L132" s="25" t="str">
        <f t="shared" si="25"/>
        <v/>
      </c>
    </row>
    <row r="133" spans="1:12" s="15" customFormat="1" ht="15" x14ac:dyDescent="0.25">
      <c r="B133" s="15" t="str">
        <f t="shared" si="26"/>
        <v/>
      </c>
      <c r="C133" s="25" t="str">
        <f t="shared" si="27"/>
        <v/>
      </c>
      <c r="D133" s="26" t="str">
        <f t="shared" si="28"/>
        <v/>
      </c>
      <c r="E133" s="26" t="str">
        <f t="shared" si="29"/>
        <v/>
      </c>
      <c r="F133" s="44" t="str">
        <f t="shared" si="30"/>
        <v/>
      </c>
      <c r="G133" s="45" t="str">
        <f>IF(B133="","",IF($C$4=Param!$A$2,VLOOKUP($C$4,Param!$A:$G,MATCH(Flujo!$G$14,Param!$A$1:$H$1,0),0)*$C$6,VLOOKUP($C$4,Param!$A:$G,MATCH(Flujo!$G$14,Param!$A$1:$H$1,0),0)*Flujo!$L133))</f>
        <v/>
      </c>
      <c r="H133" s="23" t="str">
        <f t="shared" si="24"/>
        <v/>
      </c>
      <c r="I133" s="23" t="str">
        <f t="shared" si="31"/>
        <v/>
      </c>
      <c r="J133" s="23"/>
      <c r="K133" s="28">
        <f t="shared" si="32"/>
        <v>0</v>
      </c>
      <c r="L133" s="25" t="str">
        <f t="shared" si="25"/>
        <v/>
      </c>
    </row>
    <row r="134" spans="1:12" s="15" customFormat="1" ht="15" x14ac:dyDescent="0.25">
      <c r="B134" s="15" t="str">
        <f t="shared" si="26"/>
        <v/>
      </c>
      <c r="C134" s="25" t="str">
        <f t="shared" si="27"/>
        <v/>
      </c>
      <c r="D134" s="26" t="str">
        <f t="shared" si="28"/>
        <v/>
      </c>
      <c r="E134" s="26" t="str">
        <f t="shared" si="29"/>
        <v/>
      </c>
      <c r="F134" s="44" t="str">
        <f t="shared" si="30"/>
        <v/>
      </c>
      <c r="G134" s="45" t="str">
        <f>IF(B134="","",IF($C$4=Param!$A$2,VLOOKUP($C$4,Param!$A:$G,MATCH(Flujo!$G$14,Param!$A$1:$H$1,0),0)*$C$6,VLOOKUP($C$4,Param!$A:$G,MATCH(Flujo!$G$14,Param!$A$1:$H$1,0),0)*Flujo!$L134))</f>
        <v/>
      </c>
      <c r="H134" s="23" t="str">
        <f t="shared" si="24"/>
        <v/>
      </c>
      <c r="I134" s="23" t="str">
        <f t="shared" si="31"/>
        <v/>
      </c>
      <c r="J134" s="23"/>
      <c r="K134" s="28">
        <f t="shared" si="32"/>
        <v>0</v>
      </c>
      <c r="L134" s="25" t="str">
        <f t="shared" si="25"/>
        <v/>
      </c>
    </row>
    <row r="135" spans="1:12" s="15" customFormat="1" ht="15" x14ac:dyDescent="0.25">
      <c r="B135" s="15" t="str">
        <f t="shared" si="26"/>
        <v/>
      </c>
      <c r="C135" s="25" t="str">
        <f t="shared" si="27"/>
        <v/>
      </c>
      <c r="D135" s="26" t="str">
        <f t="shared" si="28"/>
        <v/>
      </c>
      <c r="E135" s="26" t="str">
        <f t="shared" si="29"/>
        <v/>
      </c>
      <c r="F135" s="44" t="str">
        <f t="shared" si="30"/>
        <v/>
      </c>
      <c r="G135" s="45" t="str">
        <f>IF(B135="","",IF($C$4=Param!$A$2,VLOOKUP($C$4,Param!$A:$G,MATCH(Flujo!$G$14,Param!$A$1:$H$1,0),0)*$C$6,VLOOKUP($C$4,Param!$A:$G,MATCH(Flujo!$G$14,Param!$A$1:$H$1,0),0)*Flujo!$L135))</f>
        <v/>
      </c>
      <c r="H135" s="23" t="str">
        <f t="shared" si="24"/>
        <v/>
      </c>
      <c r="I135" s="23" t="str">
        <f t="shared" si="31"/>
        <v/>
      </c>
      <c r="J135" s="23"/>
      <c r="K135" s="28">
        <f t="shared" si="32"/>
        <v>0</v>
      </c>
      <c r="L135" s="25" t="str">
        <f t="shared" si="25"/>
        <v/>
      </c>
    </row>
    <row r="136" spans="1:12" s="15" customFormat="1" ht="15" x14ac:dyDescent="0.25">
      <c r="B136" s="15" t="str">
        <f t="shared" si="26"/>
        <v/>
      </c>
      <c r="C136" s="25" t="str">
        <f t="shared" si="27"/>
        <v/>
      </c>
      <c r="D136" s="26" t="str">
        <f t="shared" si="28"/>
        <v/>
      </c>
      <c r="E136" s="26" t="str">
        <f t="shared" si="29"/>
        <v/>
      </c>
      <c r="F136" s="44" t="str">
        <f t="shared" si="30"/>
        <v/>
      </c>
      <c r="G136" s="45" t="str">
        <f>IF(B136="","",IF($C$4=Param!$A$2,VLOOKUP($C$4,Param!$A:$G,MATCH(Flujo!$G$14,Param!$A$1:$H$1,0),0)*$C$6,VLOOKUP($C$4,Param!$A:$G,MATCH(Flujo!$G$14,Param!$A$1:$H$1,0),0)*Flujo!$L136))</f>
        <v/>
      </c>
      <c r="H136" s="23" t="str">
        <f t="shared" si="24"/>
        <v/>
      </c>
      <c r="I136" s="23" t="str">
        <f t="shared" si="31"/>
        <v/>
      </c>
      <c r="J136" s="23"/>
      <c r="K136" s="28">
        <f t="shared" si="32"/>
        <v>0</v>
      </c>
      <c r="L136" s="25" t="str">
        <f t="shared" si="25"/>
        <v/>
      </c>
    </row>
    <row r="137" spans="1:12" s="15" customFormat="1" ht="15" x14ac:dyDescent="0.25">
      <c r="C137" s="25"/>
      <c r="D137" s="26"/>
      <c r="E137" s="26"/>
      <c r="F137" s="27"/>
      <c r="G137" s="23"/>
      <c r="H137" s="23"/>
      <c r="I137" s="23"/>
      <c r="J137" s="23"/>
      <c r="K137" s="28"/>
    </row>
    <row r="138" spans="1:12" s="30" customFormat="1" ht="15" x14ac:dyDescent="0.25">
      <c r="A138" s="29" t="s">
        <v>26</v>
      </c>
      <c r="B138" s="29" t="s">
        <v>26</v>
      </c>
      <c r="C138" s="29" t="s">
        <v>26</v>
      </c>
      <c r="D138" s="29" t="s">
        <v>26</v>
      </c>
      <c r="E138" s="29"/>
      <c r="F138" s="29" t="s">
        <v>26</v>
      </c>
      <c r="G138" s="29" t="s">
        <v>26</v>
      </c>
      <c r="H138" s="29" t="s">
        <v>26</v>
      </c>
      <c r="I138" s="29" t="s">
        <v>26</v>
      </c>
      <c r="J138" s="29"/>
      <c r="K138" s="29" t="s">
        <v>26</v>
      </c>
      <c r="L138" s="29"/>
    </row>
  </sheetData>
  <sheetProtection password="FCFC" sheet="1" selectLockedCells="1"/>
  <mergeCells count="1">
    <mergeCell ref="D12:F12"/>
  </mergeCells>
  <conditionalFormatting sqref="K17">
    <cfRule type="expression" dxfId="2" priority="3">
      <formula>K17=0</formula>
    </cfRule>
  </conditionalFormatting>
  <conditionalFormatting sqref="D12 B9:C9">
    <cfRule type="expression" dxfId="1" priority="2">
      <formula>$D$12&lt;&gt;""</formula>
    </cfRule>
  </conditionalFormatting>
  <conditionalFormatting sqref="K18:K137">
    <cfRule type="expression" dxfId="0" priority="1">
      <formula>K18=0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EDED-A599-45B8-8CDF-EEF4F112F87F}">
  <sheetPr codeName="Hoja7"/>
  <dimension ref="A1:I9"/>
  <sheetViews>
    <sheetView showGridLines="0" topLeftCell="I1" workbookViewId="0">
      <selection activeCell="H14" sqref="H14"/>
    </sheetView>
  </sheetViews>
  <sheetFormatPr baseColWidth="10" defaultColWidth="11.42578125" defaultRowHeight="12" outlineLevelCol="1" x14ac:dyDescent="0.2"/>
  <cols>
    <col min="1" max="1" width="15.85546875" style="32" hidden="1" customWidth="1" outlineLevel="1"/>
    <col min="2" max="2" width="7" style="32" hidden="1" customWidth="1" outlineLevel="1"/>
    <col min="3" max="3" width="7.140625" style="32" hidden="1" customWidth="1" outlineLevel="1"/>
    <col min="4" max="4" width="9.42578125" style="32" hidden="1" customWidth="1" outlineLevel="1"/>
    <col min="5" max="5" width="5.28515625" style="32" hidden="1" customWidth="1" outlineLevel="1"/>
    <col min="6" max="6" width="6" style="32" hidden="1" customWidth="1" outlineLevel="1"/>
    <col min="7" max="7" width="13.140625" style="32" hidden="1" customWidth="1" outlineLevel="1"/>
    <col min="8" max="8" width="55.28515625" style="32" hidden="1" customWidth="1" outlineLevel="1"/>
    <col min="9" max="9" width="5.7109375" style="32" customWidth="1" collapsed="1"/>
    <col min="10" max="16384" width="11.42578125" style="32"/>
  </cols>
  <sheetData>
    <row r="1" spans="1:8" ht="25.5" x14ac:dyDescent="0.2">
      <c r="A1" s="31" t="s">
        <v>1</v>
      </c>
      <c r="B1" s="31" t="s">
        <v>2</v>
      </c>
      <c r="C1" s="31" t="s">
        <v>3</v>
      </c>
      <c r="D1" s="31" t="s">
        <v>4</v>
      </c>
      <c r="E1" s="31" t="s">
        <v>5</v>
      </c>
      <c r="F1" s="31" t="s">
        <v>6</v>
      </c>
      <c r="G1" s="31" t="s">
        <v>27</v>
      </c>
      <c r="H1" s="31" t="s">
        <v>7</v>
      </c>
    </row>
    <row r="2" spans="1:8" s="34" customFormat="1" x14ac:dyDescent="0.25">
      <c r="A2" s="34" t="s">
        <v>54</v>
      </c>
      <c r="B2" s="35"/>
      <c r="C2" s="33">
        <f>1615/1000000</f>
        <v>1.6149999999999999E-3</v>
      </c>
      <c r="D2" s="36">
        <v>0</v>
      </c>
      <c r="E2" s="36" t="s">
        <v>10</v>
      </c>
      <c r="F2" s="37">
        <v>72</v>
      </c>
      <c r="G2" s="37"/>
      <c r="H2" s="38" t="s">
        <v>43</v>
      </c>
    </row>
    <row r="3" spans="1:8" s="34" customFormat="1" x14ac:dyDescent="0.25">
      <c r="A3" s="34" t="s">
        <v>53</v>
      </c>
      <c r="B3" s="35"/>
      <c r="C3" s="33">
        <f>1615/1000000</f>
        <v>1.6149999999999999E-3</v>
      </c>
      <c r="D3" s="36">
        <v>0</v>
      </c>
      <c r="E3" s="36" t="s">
        <v>10</v>
      </c>
      <c r="F3" s="37">
        <v>72</v>
      </c>
      <c r="G3" s="37"/>
      <c r="H3" s="38" t="s">
        <v>43</v>
      </c>
    </row>
    <row r="4" spans="1:8" s="39" customFormat="1" x14ac:dyDescent="0.2"/>
    <row r="5" spans="1:8" s="39" customFormat="1" x14ac:dyDescent="0.2"/>
    <row r="6" spans="1:8" s="39" customFormat="1" x14ac:dyDescent="0.2"/>
    <row r="7" spans="1:8" s="39" customFormat="1" x14ac:dyDescent="0.2"/>
    <row r="8" spans="1:8" s="39" customFormat="1" x14ac:dyDescent="0.2"/>
    <row r="9" spans="1:8" s="40" customFormat="1" x14ac:dyDescent="0.2"/>
  </sheetData>
  <sheetProtection algorithmName="SHA-512" hashValue="B23WHwR6Q54Jd6Je//hyd0Vzjleux1OFNKwU6stltA4n6xISMwX0SHuqeFtmbcvWTDOn1MgpcjCfk0azUhBb2Q==" saltValue="/ahv0zVpOuC5k70KiWx1BA==" spinCount="100000" sheet="1" selectLockedCell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Simulador</vt:lpstr>
      <vt:lpstr>Flujo</vt:lpstr>
      <vt:lpstr>Param</vt:lpstr>
      <vt:lpstr>cuota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Torres Gonzalez</dc:creator>
  <cp:lastModifiedBy>Fredy Alexander Tarazona Manrique</cp:lastModifiedBy>
  <dcterms:created xsi:type="dcterms:W3CDTF">2019-10-30T14:58:35Z</dcterms:created>
  <dcterms:modified xsi:type="dcterms:W3CDTF">2021-10-25T20:44:10Z</dcterms:modified>
</cp:coreProperties>
</file>